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0.xml.rels" ContentType="application/vnd.openxmlformats-package.relationships+xml"/>
  <Override PartName="/xl/worksheets/_rels/sheet4.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ables/table1.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Insights" sheetId="2" state="visible" r:id="rId4"/>
    <sheet name="Summary" sheetId="3" state="visible" r:id="rId5"/>
    <sheet name="Explorer" sheetId="4" state="visible" r:id="rId6"/>
    <sheet name="Demographics" sheetId="5" state="visible" r:id="rId7"/>
    <sheet name="Countries" sheetId="6" state="visible" r:id="rId8"/>
    <sheet name="Data" sheetId="7" state="visible" r:id="rId9"/>
    <sheet name="Lookups" sheetId="8" state="visible" r:id="rId10"/>
    <sheet name="Data quality" sheetId="9" state="visible" r:id="rId11"/>
    <sheet name="Footnotes" sheetId="10" state="visible" r:id="rId12"/>
  </sheets>
  <definedNames>
    <definedName function="false" hidden="true" localSheetId="5" name="_xlnm._FilterDatabase" vbProcedure="false">Countries!$A$3:$S$73</definedName>
    <definedName function="false" hidden="true" localSheetId="9" name="_xlnm._FilterDatabase" vbProcedure="false">Footnotes!$A$4:$G$379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<sst xmlns="http://schemas.openxmlformats.org/spreadsheetml/2006/main" count="3738" uniqueCount="951">
  <si>
    <t xml:space="preserve">Venezuelan displacement abroad: UNHCR data, 2020-2025</t>
  </si>
  <si>
    <t xml:space="preserve">Purpose</t>
  </si>
  <si>
    <t xml:space="preserve">Explore where Venezuelans are recorded outside Venezuela, inside and beyond Latin America, and how that has changed. Built to be filtered, pivoted and charted.</t>
  </si>
  <si>
    <t xml:space="preserve">Source</t>
  </si>
  <si>
    <t xml:space="preserve">UNHCR persons of concern demographics (file: persons_of_concern_demographics.csv) and UNHCR footnotes (footnotes.csv), as supplied. 350 rows, 6 years, 70 destinations plus one Venezuela in-country record.</t>
  </si>
  <si>
    <t xml:space="preserve">Unit</t>
  </si>
  <si>
    <t xml:space="preserve">People at year-end (stocks). Not annual arrivals.</t>
  </si>
  <si>
    <t xml:space="preserve">Context source</t>
  </si>
  <si>
    <t xml:space="preserve">Garcia Arias, J. (2024). The Demography of Crisis-Driven Outflows from Venezuela. Population and Development Review 50(3): 643-675. https://doi.org/10.1111/padr.12651. Used for background in the Insights reading and the companion website; no number in this workbook comes from it.</t>
  </si>
  <si>
    <t xml:space="preserve">Sheet</t>
  </si>
  <si>
    <t xml:space="preserve">What it does</t>
  </si>
  <si>
    <t xml:space="preserve">Insights</t>
  </si>
  <si>
    <t xml:space="preserve">Headline numbers and a written reading of the evidence, including what the data cannot tell you.</t>
  </si>
  <si>
    <t xml:space="preserve">Summary</t>
  </si>
  <si>
    <t xml:space="preserve">Destination subregions by year, shares, Latin America versus the rest. Two charts.</t>
  </si>
  <si>
    <t xml:space="preserve">Explorer</t>
  </si>
  <si>
    <t xml:space="preserve">Pick a year and a country (yellow cells). Top 15 destinations, country trend, age and sex.</t>
  </si>
  <si>
    <t xml:space="preserve">Demographics</t>
  </si>
  <si>
    <t xml:space="preserve">Pick a year and a destination scope. Age and sex, and a comparison across subregions with coverage.</t>
  </si>
  <si>
    <t xml:space="preserve">Countries</t>
  </si>
  <si>
    <t xml:space="preserve">One row per destination, totals by year, changes, shares and ranks. Feeds Summary and Explorer.</t>
  </si>
  <si>
    <t xml:space="preserve">Data</t>
  </si>
  <si>
    <t xml:space="preserve">Cleaned source rows as a table named tblVEN. Region and subregion come from Lookups. Add a PivotTable from here if you want your own cuts.</t>
  </si>
  <si>
    <t xml:space="preserve">Lookups</t>
  </si>
  <si>
    <t xml:space="preserve">Country to subregion mapping. Change a blue cell and everything recalculates.</t>
  </si>
  <si>
    <t xml:space="preserve">Data quality</t>
  </si>
  <si>
    <t xml:space="preserve">Live checks plus a log of 14 issues and how each is handled. Read this before quoting numbers.</t>
  </si>
  <si>
    <t xml:space="preserve">Footnotes</t>
  </si>
  <si>
    <t xml:space="preserve">The full UNHCR footnotes file. Rows that bear on this extract are shaded.</t>
  </si>
  <si>
    <t xml:space="preserve">Colour code</t>
  </si>
  <si>
    <t xml:space="preserve">Blue bold text on yellow = a cell you can change. Black = formula or source data. Green = link to another sheet.</t>
  </si>
  <si>
    <t xml:space="preserve">Three things to know</t>
  </si>
  <si>
    <t xml:space="preserve">1) The extract has no population-type column. 2) The US 2025 figure is partial. 3) Sex and age cover 77% of people in 2025 and 48% in 2020, so demographic shares are not comparable across years.</t>
  </si>
  <si>
    <t xml:space="preserve">Changes from the raw file</t>
  </si>
  <si>
    <t xml:space="preserve">Trimmed a trailing space in "Curacao"; shortened long country names; renamed "Other" age columns to "Age unknown"; added region, subregion, scope, coverage and data-note columns. No source value was altered.</t>
  </si>
  <si>
    <t xml:space="preserve">Reading the evidence: mixed flows of Venezuelans in Latin America and beyond</t>
  </si>
  <si>
    <t xml:space="preserve">Headline numbers are live formulas. The reading beneath was written from this extract and does not update if you change the data.</t>
  </si>
  <si>
    <t xml:space="preserve">Headline numbers</t>
  </si>
  <si>
    <t xml:space="preserve">Measure</t>
  </si>
  <si>
    <t xml:space="preserve">2020</t>
  </si>
  <si>
    <t xml:space="preserve">2024</t>
  </si>
  <si>
    <t xml:space="preserve">2025</t>
  </si>
  <si>
    <t xml:space="preserve">People recorded abroad</t>
  </si>
  <si>
    <t xml:space="preserve">Share in Latin America &amp; Caribbean</t>
  </si>
  <si>
    <t xml:space="preserve">Share in the Andean region</t>
  </si>
  <si>
    <t xml:space="preserve">Share in Southern Cone &amp; Brazil</t>
  </si>
  <si>
    <t xml:space="preserve">Share in North America</t>
  </si>
  <si>
    <t xml:space="preserve">Share in Europe</t>
  </si>
  <si>
    <t xml:space="preserve">Top 3 destinations share</t>
  </si>
  <si>
    <t xml:space="preserve">What the data supports</t>
  </si>
  <si>
    <t xml:space="preserve">1. The displacement is regional first.</t>
  </si>
  <si>
    <t xml:space="preserve">Between 88% and 95% of recorded Venezuelans sit in Latin America and the Caribbean in every year. Colombia, Peru, Brazil, Chile and Ecuador alone hold about 82% in 2025. Colombia (2.83M) and Peru (1.64M) are in a class of their own.</t>
  </si>
  <si>
    <t xml:space="preserve">2. The Andean corridor has stopped growing.</t>
  </si>
  <si>
    <t xml:space="preserve">Colombia, Peru, Ecuador and Bolivia rose from 3.2M (2020) to 4.9M (2023) and have been flat since (4.93M in 2025). Ecuador has declined since 2021. The recorded stock is saturating, which may reflect settlement, onward movement or the limits of registration.</t>
  </si>
  <si>
    <t xml:space="preserve">3. Growth has moved south and east.</t>
  </si>
  <si>
    <t xml:space="preserve">Southern Cone and Brazil went from 0.95M to 1.61M (+68%), with +17% in 2025 alone: Chile +137k and Brazil +105k. Argentina is flat. This is the only large corridor still expanding in the latest year.</t>
  </si>
  <si>
    <t xml:space="preserve">4. A northbound stream shows up as spikes, not as a settled population.</t>
  </si>
  <si>
    <t xml:space="preserve">Central America and Mexico jumped to 450k in 2022 and fell to 228k in 2025. Guatemala (12k in 2022, 97k in 2024, 15k in 2025) and Honduras (85k in 2024, 19k in 2025) look like transit counts. North America climbed from 151k to 655k (2024). The 2025 fall to 443k comes with a US reporting change, so treat it as a lower bound.</t>
  </si>
  <si>
    <t xml:space="preserve">5. Europe is small but growing steadily.</t>
  </si>
  <si>
    <t xml:space="preserve">From 103k to 310k (3x). Spain holds about 92% of the European total, and is a mix of permit types. Italy, Germany and France follow far behind.</t>
  </si>
  <si>
    <t xml:space="preserve">6. Recorded profiles are young and close to gender-balanced.</t>
  </si>
  <si>
    <t xml:space="preserve">Among people with age and sex reported in 2025: 52% female, 29% under 18, 68% aged 18-59, 3.5% aged 60+. These come mostly from Colombia, Peru, Ecuador, Spain, Brazil and Chile; Caribbean, North American and Central American profiles rest on little data.</t>
  </si>
  <si>
    <t xml:space="preserve">What it cannot tell you</t>
  </si>
  <si>
    <t xml:space="preserve">Flows and routes.</t>
  </si>
  <si>
    <t xml:space="preserve">Stocks cannot show who moved where, when, or how many went back or went on. A drop in one country and a rise in another may be the same people or different ones.</t>
  </si>
  <si>
    <t xml:space="preserve">Irregular and unregistered people.</t>
  </si>
  <si>
    <t xml:space="preserve">Anyone outside registration, permit or asylum systems is missing, which varies sharply by country and year.</t>
  </si>
  <si>
    <t xml:space="preserve">Population type.</t>
  </si>
  <si>
    <t xml:space="preserve">The extract does not separate refugees, asylum-seekers and permit holders. Mixed flows by legal status need a fresh download with the population-type column.</t>
  </si>
  <si>
    <t xml:space="preserve">To close the gaps (suggested next data)</t>
  </si>
  <si>
    <t xml:space="preserve">Triangulate with</t>
  </si>
  <si>
    <t xml:space="preserve">R4V Platform regional estimates (host-country stocks), IOM Displacement Tracking Matrix and Panama Darien crossing statistics (northbound flows), national migration agencies (Colombia Migracion, Peru Migraciones, Brazil Operacao Acolhida, Chile INE/SERMIG), US CBP encounters and Eurostat residence permits. I can add any of these to the workbook if you share the files.</t>
  </si>
  <si>
    <t xml:space="preserve">Summary: where Venezuelans are recorded abroad</t>
  </si>
  <si>
    <t xml:space="preserve">All figures are year-end stocks (people), not annual flows. Destination subregions are migration corridors; edit them on Lookups.</t>
  </si>
  <si>
    <t xml:space="preserve">A. People recorded abroad, by destination subregion</t>
  </si>
  <si>
    <t xml:space="preserve">Subregion</t>
  </si>
  <si>
    <t xml:space="preserve">Change 2020 to 2025</t>
  </si>
  <si>
    <t xml:space="preserve">% change 2020 to 2025</t>
  </si>
  <si>
    <t xml:space="preserve">CAGR 2020 to 2025</t>
  </si>
  <si>
    <t xml:space="preserve">Andean region</t>
  </si>
  <si>
    <t xml:space="preserve">Southern Cone &amp; Brazil</t>
  </si>
  <si>
    <t xml:space="preserve">Central America &amp; Mexico</t>
  </si>
  <si>
    <t xml:space="preserve">Caribbean &amp; Guianas</t>
  </si>
  <si>
    <t xml:space="preserve">North America</t>
  </si>
  <si>
    <t xml:space="preserve">Europe</t>
  </si>
  <si>
    <t xml:space="preserve">Rest of world</t>
  </si>
  <si>
    <t xml:space="preserve">Total displaced abroad</t>
  </si>
  <si>
    <t xml:space="preserve">Check: equals Countries total</t>
  </si>
  <si>
    <t xml:space="preserve">B. Share of all people recorded abroad</t>
  </si>
  <si>
    <t xml:space="preserve">Point change 2020 to 2025</t>
  </si>
  <si>
    <t xml:space="preserve">C. Latin America &amp; Caribbean versus the rest</t>
  </si>
  <si>
    <t xml:space="preserve">Recorded in Latin America &amp; Caribbean</t>
  </si>
  <si>
    <t xml:space="preserve">Recorded outside Latin America &amp; Caribbean</t>
  </si>
  <si>
    <t xml:space="preserve">Year-on-year change in total abroad</t>
  </si>
  <si>
    <t xml:space="preserve">Top 3 destinations share of total</t>
  </si>
  <si>
    <t xml:space="preserve">Destinations reporting 1,000+ people</t>
  </si>
  <si>
    <t xml:space="preserve">Destinations in the file (non-zero)</t>
  </si>
  <si>
    <t xml:space="preserve">Explorer: pick a year and a country</t>
  </si>
  <si>
    <t xml:space="preserve">Change the two yellow cells. Everything below recalculates, including the charts.</t>
  </si>
  <si>
    <t xml:space="preserve">Year</t>
  </si>
  <si>
    <t xml:space="preserve">Country</t>
  </si>
  <si>
    <t xml:space="preserve">Colombia</t>
  </si>
  <si>
    <t xml:space="preserve">Top 15 destinations in the selected year</t>
  </si>
  <si>
    <t xml:space="preserve">Selected country over time</t>
  </si>
  <si>
    <t xml:space="preserve">Rank</t>
  </si>
  <si>
    <t xml:space="preserve">People</t>
  </si>
  <si>
    <t xml:space="preserve">Share of total abroad</t>
  </si>
  <si>
    <t xml:space="preserve">Change vs prior year</t>
  </si>
  <si>
    <t xml:space="preserve">% change</t>
  </si>
  <si>
    <t xml:space="preserve">Data note (selected year)</t>
  </si>
  <si>
    <t xml:space="preserve">Age and sex, selected country and year</t>
  </si>
  <si>
    <t xml:space="preserve">Age group</t>
  </si>
  <si>
    <t xml:space="preserve">Female</t>
  </si>
  <si>
    <t xml:space="preserve">Male</t>
  </si>
  <si>
    <t xml:space="preserve">Total</t>
  </si>
  <si>
    <t xml:space="preserve">Share (age known)</t>
  </si>
  <si>
    <t xml:space="preserve">0-4</t>
  </si>
  <si>
    <t xml:space="preserve">Top 15 combined</t>
  </si>
  <si>
    <t xml:space="preserve">5-17</t>
  </si>
  <si>
    <t xml:space="preserve">18-59</t>
  </si>
  <si>
    <t xml:space="preserve">60+</t>
  </si>
  <si>
    <t xml:space="preserve">Age unknown</t>
  </si>
  <si>
    <t xml:space="preserve">All reported by sex</t>
  </si>
  <si>
    <t xml:space="preserve">Total in file</t>
  </si>
  <si>
    <t xml:space="preserve">Sex/age coverage</t>
  </si>
  <si>
    <t xml:space="preserve">Demographics: sex and age of people recorded abroad</t>
  </si>
  <si>
    <t xml:space="preserve">Only people with sex/age reported are counted here. Coverage shows how much of the total that is, so read shares with care.</t>
  </si>
  <si>
    <t xml:space="preserve">Scope list</t>
  </si>
  <si>
    <t xml:space="preserve">All destinations abroad</t>
  </si>
  <si>
    <t xml:space="preserve">Destination scope</t>
  </si>
  <si>
    <t xml:space="preserve">Filter used</t>
  </si>
  <si>
    <t xml:space="preserve">Population by age and sex</t>
  </si>
  <si>
    <t xml:space="preserve">Share of age-reported</t>
  </si>
  <si>
    <t xml:space="preserve">Female share of group</t>
  </si>
  <si>
    <t xml:space="preserve">Reported by sex</t>
  </si>
  <si>
    <t xml:space="preserve">Female share (age-reported)</t>
  </si>
  <si>
    <t xml:space="preserve">Comparison across subregions (selected year)</t>
  </si>
  <si>
    <t xml:space="preserve">Female share</t>
  </si>
  <si>
    <t xml:space="preserve">Children 0-17 share</t>
  </si>
  <si>
    <t xml:space="preserve">Working age 18-59 share</t>
  </si>
  <si>
    <t xml:space="preserve">60+ share</t>
  </si>
  <si>
    <t xml:space="preserve">Shares in this table use only people with age and sex reported. A subregion with low coverage rests on a few countries, so do not compare it with high-coverage ones.</t>
  </si>
  <si>
    <t xml:space="preserve">Countries: displaced abroad by destination</t>
  </si>
  <si>
    <t xml:space="preserve">Year-end totals from Data (SUMIFS). Excludes the Venezuela in-country record. Sorted by 2025 total when built; formulas stay live if you edit Data.</t>
  </si>
  <si>
    <t xml:space="preserve">ISO</t>
  </si>
  <si>
    <t xml:space="preserve">Region</t>
  </si>
  <si>
    <t xml:space="preserve">Net change 2020 to 2025</t>
  </si>
  <si>
    <t xml:space="preserve">Change 2024 to 2025</t>
  </si>
  <si>
    <t xml:space="preserve">% change 2024 to 2025</t>
  </si>
  <si>
    <t xml:space="preserve">Share of 2025 total</t>
  </si>
  <si>
    <t xml:space="preserve">Peak total</t>
  </si>
  <si>
    <t xml:space="preserve">Peak year</t>
  </si>
  <si>
    <t xml:space="preserve">Total in Explorer year</t>
  </si>
  <si>
    <t xml:space="preserve">Rank key</t>
  </si>
  <si>
    <t xml:space="preserve">Rank in Explorer year</t>
  </si>
  <si>
    <t xml:space="preserve">COL</t>
  </si>
  <si>
    <t xml:space="preserve">PER</t>
  </si>
  <si>
    <t xml:space="preserve">BRA</t>
  </si>
  <si>
    <t xml:space="preserve">CHL</t>
  </si>
  <si>
    <t xml:space="preserve">ECU</t>
  </si>
  <si>
    <t xml:space="preserve">USA</t>
  </si>
  <si>
    <t xml:space="preserve">ESP</t>
  </si>
  <si>
    <t xml:space="preserve">ARG</t>
  </si>
  <si>
    <t xml:space="preserve">MEX</t>
  </si>
  <si>
    <t xml:space="preserve">DOM</t>
  </si>
  <si>
    <t xml:space="preserve">PAN</t>
  </si>
  <si>
    <t xml:space="preserve">CRI</t>
  </si>
  <si>
    <t xml:space="preserve">TTO</t>
  </si>
  <si>
    <t xml:space="preserve">URY</t>
  </si>
  <si>
    <t xml:space="preserve">GUY</t>
  </si>
  <si>
    <t xml:space="preserve">HND</t>
  </si>
  <si>
    <t xml:space="preserve">BOL</t>
  </si>
  <si>
    <t xml:space="preserve">GTM</t>
  </si>
  <si>
    <t xml:space="preserve">ABW</t>
  </si>
  <si>
    <t xml:space="preserve">ITA</t>
  </si>
  <si>
    <t xml:space="preserve">DEU</t>
  </si>
  <si>
    <t xml:space="preserve">CAN</t>
  </si>
  <si>
    <t xml:space="preserve">CUW</t>
  </si>
  <si>
    <t xml:space="preserve">PRY</t>
  </si>
  <si>
    <t xml:space="preserve">FRA</t>
  </si>
  <si>
    <t xml:space="preserve">ISL</t>
  </si>
  <si>
    <t xml:space="preserve">BEL</t>
  </si>
  <si>
    <t xml:space="preserve">NLD</t>
  </si>
  <si>
    <t xml:space="preserve">SUR</t>
  </si>
  <si>
    <t xml:space="preserve">AUS</t>
  </si>
  <si>
    <t xml:space="preserve">PRT</t>
  </si>
  <si>
    <t xml:space="preserve">LUX</t>
  </si>
  <si>
    <t xml:space="preserve">AUT</t>
  </si>
  <si>
    <t xml:space="preserve">CHE</t>
  </si>
  <si>
    <t xml:space="preserve">NOR</t>
  </si>
  <si>
    <t xml:space="preserve">IRL</t>
  </si>
  <si>
    <t xml:space="preserve">SXM</t>
  </si>
  <si>
    <t xml:space="preserve">GBR</t>
  </si>
  <si>
    <t xml:space="preserve">SWE</t>
  </si>
  <si>
    <t xml:space="preserve">MLT</t>
  </si>
  <si>
    <t xml:space="preserve">CYM</t>
  </si>
  <si>
    <t xml:space="preserve">POL</t>
  </si>
  <si>
    <t xml:space="preserve">SLV</t>
  </si>
  <si>
    <t xml:space="preserve">FIN</t>
  </si>
  <si>
    <t xml:space="preserve">GRC</t>
  </si>
  <si>
    <t xml:space="preserve">CZE</t>
  </si>
  <si>
    <t xml:space="preserve">BLZ</t>
  </si>
  <si>
    <t xml:space="preserve">IND</t>
  </si>
  <si>
    <t xml:space="preserve">DNK</t>
  </si>
  <si>
    <t xml:space="preserve">ALB</t>
  </si>
  <si>
    <t xml:space="preserve">NZL</t>
  </si>
  <si>
    <t xml:space="preserve">HRV</t>
  </si>
  <si>
    <t xml:space="preserve">SVN</t>
  </si>
  <si>
    <t xml:space="preserve">LIE</t>
  </si>
  <si>
    <t xml:space="preserve">BGR</t>
  </si>
  <si>
    <t xml:space="preserve">BRB</t>
  </si>
  <si>
    <t xml:space="preserve">AIA</t>
  </si>
  <si>
    <t xml:space="preserve">MNE</t>
  </si>
  <si>
    <t xml:space="preserve">HUN</t>
  </si>
  <si>
    <t xml:space="preserve">ATG</t>
  </si>
  <si>
    <t xml:space="preserve">VCT</t>
  </si>
  <si>
    <t xml:space="preserve">KNA</t>
  </si>
  <si>
    <t xml:space="preserve">JAM</t>
  </si>
  <si>
    <t xml:space="preserve">GRD</t>
  </si>
  <si>
    <t xml:space="preserve">ISR</t>
  </si>
  <si>
    <t xml:space="preserve">IDN</t>
  </si>
  <si>
    <t xml:space="preserve">JOR</t>
  </si>
  <si>
    <t xml:space="preserve">KGZ</t>
  </si>
  <si>
    <t xml:space="preserve">LBN</t>
  </si>
  <si>
    <t xml:space="preserve">KOR</t>
  </si>
  <si>
    <t xml:space="preserve">Country of asylum</t>
  </si>
  <si>
    <t xml:space="preserve">In Latin America &amp; Caribbean?</t>
  </si>
  <si>
    <t xml:space="preserve">Scope</t>
  </si>
  <si>
    <t xml:space="preserve">Female 0-4</t>
  </si>
  <si>
    <t xml:space="preserve">Female 5-11</t>
  </si>
  <si>
    <t xml:space="preserve">Female 12-17</t>
  </si>
  <si>
    <t xml:space="preserve">Female 18-59</t>
  </si>
  <si>
    <t xml:space="preserve">Female 60+</t>
  </si>
  <si>
    <t xml:space="preserve">Female Age unknown</t>
  </si>
  <si>
    <t xml:space="preserve">Female total</t>
  </si>
  <si>
    <t xml:space="preserve">Male 0-4</t>
  </si>
  <si>
    <t xml:space="preserve">Male 5-11</t>
  </si>
  <si>
    <t xml:space="preserve">Male 12-17</t>
  </si>
  <si>
    <t xml:space="preserve">Male 18-59</t>
  </si>
  <si>
    <t xml:space="preserve">Male 60+</t>
  </si>
  <si>
    <t xml:space="preserve">Male Age unknown</t>
  </si>
  <si>
    <t xml:space="preserve">Male total</t>
  </si>
  <si>
    <t xml:space="preserve">Sex-disaggregated (F+M)</t>
  </si>
  <si>
    <t xml:space="preserve">Disaggregation coverage</t>
  </si>
  <si>
    <t xml:space="preserve">Data note</t>
  </si>
  <si>
    <t xml:space="preserve">Albania</t>
  </si>
  <si>
    <t xml:space="preserve">Anguilla</t>
  </si>
  <si>
    <t xml:space="preserve">Argentina</t>
  </si>
  <si>
    <t xml:space="preserve">Sex/age reported for under 25% of the total.</t>
  </si>
  <si>
    <t xml:space="preserve">Aruba</t>
  </si>
  <si>
    <t xml:space="preserve">Round-number estimate. | Sex/age reported for under 25% of the total.</t>
  </si>
  <si>
    <t xml:space="preserve">Australia</t>
  </si>
  <si>
    <t xml:space="preserve">Austria</t>
  </si>
  <si>
    <t xml:space="preserve">Barbados</t>
  </si>
  <si>
    <t xml:space="preserve">Belgium</t>
  </si>
  <si>
    <t xml:space="preserve">Bolivia</t>
  </si>
  <si>
    <t xml:space="preserve">Brazil</t>
  </si>
  <si>
    <t xml:space="preserve">Bulgaria</t>
  </si>
  <si>
    <t xml:space="preserve">Canada</t>
  </si>
  <si>
    <t xml:space="preserve">Cayman Islands</t>
  </si>
  <si>
    <t xml:space="preserve">Chile</t>
  </si>
  <si>
    <t xml:space="preserve">Costa Rica</t>
  </si>
  <si>
    <t xml:space="preserve">Curaçao</t>
  </si>
  <si>
    <t xml:space="preserve">Czechia</t>
  </si>
  <si>
    <t xml:space="preserve">Denmark</t>
  </si>
  <si>
    <t xml:space="preserve">Dominican Republic</t>
  </si>
  <si>
    <t xml:space="preserve">Ecuador</t>
  </si>
  <si>
    <t xml:space="preserve">El Salvador</t>
  </si>
  <si>
    <t xml:space="preserve">Finland</t>
  </si>
  <si>
    <t xml:space="preserve">France</t>
  </si>
  <si>
    <t xml:space="preserve">Germany</t>
  </si>
  <si>
    <t xml:space="preserve">Greece</t>
  </si>
  <si>
    <t xml:space="preserve">Grenada</t>
  </si>
  <si>
    <t xml:space="preserve">Guatemala</t>
  </si>
  <si>
    <t xml:space="preserve">Guyana</t>
  </si>
  <si>
    <t xml:space="preserve">Honduras</t>
  </si>
  <si>
    <t xml:space="preserve">Iceland</t>
  </si>
  <si>
    <t xml:space="preserve">India</t>
  </si>
  <si>
    <t xml:space="preserve">Indonesia</t>
  </si>
  <si>
    <t xml:space="preserve">Ireland</t>
  </si>
  <si>
    <t xml:space="preserve">Israel</t>
  </si>
  <si>
    <t xml:space="preserve">Italy</t>
  </si>
  <si>
    <t xml:space="preserve">Jamaica</t>
  </si>
  <si>
    <t xml:space="preserve">Jordan</t>
  </si>
  <si>
    <t xml:space="preserve">Lebanon</t>
  </si>
  <si>
    <t xml:space="preserve">Luxembourg</t>
  </si>
  <si>
    <t xml:space="preserve">Malta</t>
  </si>
  <si>
    <t xml:space="preserve">Mexico</t>
  </si>
  <si>
    <t xml:space="preserve">Montenegro</t>
  </si>
  <si>
    <t xml:space="preserve">Netherlands</t>
  </si>
  <si>
    <t xml:space="preserve">Norway</t>
  </si>
  <si>
    <t xml:space="preserve">Panama</t>
  </si>
  <si>
    <t xml:space="preserve">Paraguay</t>
  </si>
  <si>
    <t xml:space="preserve">Peru</t>
  </si>
  <si>
    <t xml:space="preserve">Poland</t>
  </si>
  <si>
    <t xml:space="preserve">Portugal</t>
  </si>
  <si>
    <t xml:space="preserve">Saint Kitts and Nevis</t>
  </si>
  <si>
    <t xml:space="preserve">Saint Vincent and the Grenadines</t>
  </si>
  <si>
    <t xml:space="preserve">Sint Maarten (Dutch part)</t>
  </si>
  <si>
    <t xml:space="preserve">South Korea</t>
  </si>
  <si>
    <t xml:space="preserve">Spain</t>
  </si>
  <si>
    <t xml:space="preserve">UNHCR footnote: figure mixes refugee status, subsidiary protection, temporary protection and humanitarian-reason permits. | Sex/age reported for under 25% of the total.</t>
  </si>
  <si>
    <t xml:space="preserve">Suriname</t>
  </si>
  <si>
    <t xml:space="preserve">Sweden</t>
  </si>
  <si>
    <t xml:space="preserve">Switzerland</t>
  </si>
  <si>
    <t xml:space="preserve">Trinidad and Tobago</t>
  </si>
  <si>
    <t xml:space="preserve">United Kingdom</t>
  </si>
  <si>
    <t xml:space="preserve">United States</t>
  </si>
  <si>
    <t xml:space="preserve">Uruguay</t>
  </si>
  <si>
    <t xml:space="preserve">Venezuela (in-country)</t>
  </si>
  <si>
    <t xml:space="preserve">VEN</t>
  </si>
  <si>
    <t xml:space="preserve">Venezuela-as-asylum-country record; population type not stated in extract. Excluded from "displaced abroad" totals.</t>
  </si>
  <si>
    <t xml:space="preserve">Round-number estimate.</t>
  </si>
  <si>
    <t xml:space="preserve">UNHCR footnote: "other people in need of international protection" are estimated from the Regional Refugee and Migrant Response Plan.</t>
  </si>
  <si>
    <t xml:space="preserve">UNHCR footnote: asylum figures include appointments not yet formalized. | Sex/age reported for under 25% of the total.</t>
  </si>
  <si>
    <t xml:space="preserve">Kyrgyzstan</t>
  </si>
  <si>
    <t xml:space="preserve">New Zealand</t>
  </si>
  <si>
    <t xml:space="preserve">Antigua and Barbuda</t>
  </si>
  <si>
    <t xml:space="preserve">UNHCR footnote: refugee data as of mid-2022. | Sex/age reported for under 25% of the total.</t>
  </si>
  <si>
    <t xml:space="preserve">Very large swing between years (analyst flag): check whether this is a stock, transit count or method change.</t>
  </si>
  <si>
    <t xml:space="preserve">Very large swing between years (analyst flag): check whether this is a stock, transit count or method change. | Sex/age reported for under 25% of the total.</t>
  </si>
  <si>
    <t xml:space="preserve">UNHCR footnote: figure mixes refugee status, subsidiary protection, temporary protection and humanitarian-reason permits.</t>
  </si>
  <si>
    <t xml:space="preserve">UNHCR footnote: "other people in need of international protection" are estimated from the Regional Refugee and Migrant Response Plan. | Total identical to 2022 (carried forward).</t>
  </si>
  <si>
    <t xml:space="preserve">Age bands shifted: 5-11 = 0 and 12-17 holds ages 5-17. Use merged 5-17 band.</t>
  </si>
  <si>
    <t xml:space="preserve">Drop of about 60% vs 2022 (analyst flag).</t>
  </si>
  <si>
    <t xml:space="preserve">UNHCR footnote: US temporary statuses are not reflected in these figures. | Sex/age reported for under 25% of the total.</t>
  </si>
  <si>
    <t xml:space="preserve">Venezuela-as-asylum-country record; population type not stated in extract. Excluded from "displaced abroad" totals. | Column shift: 60+ values sit in "Other"; Total identical to 2022.</t>
  </si>
  <si>
    <t xml:space="preserve">Croatia</t>
  </si>
  <si>
    <t xml:space="preserve">UNHCR footnote: data as of May 2024. | Sex/age reported for under 25% of the total.</t>
  </si>
  <si>
    <t xml:space="preserve">Hungary</t>
  </si>
  <si>
    <t xml:space="preserve">UNHCR footnote: US temporary statuses are not reflected in these figures. | UNHCR footnote: US data mid-2024 for new applications/decisions. | Sex/age reported for under 25% of the total.</t>
  </si>
  <si>
    <t xml:space="preserve">Belize</t>
  </si>
  <si>
    <t xml:space="preserve">Liechtenstein</t>
  </si>
  <si>
    <t xml:space="preserve">Slovenia</t>
  </si>
  <si>
    <t xml:space="preserve">UNHCR footnote: USCIS data Jan-Sep 2025 only and new asylum applications carry no nationality; likely undercount vs 2024. | Sex/age reported for under 25% of the total.</t>
  </si>
  <si>
    <t xml:space="preserve">Venezuela-as-asylum-country record; population type not stated in extract. Excluded from "displaced abroad" totals. | Falls to 195,822 from 590,346.</t>
  </si>
  <si>
    <t xml:space="preserve">Edit the blue Subregion cells to reclassify a country. Region, Data, Countries, Summary and Demographics all update.</t>
  </si>
  <si>
    <t xml:space="preserve">UNHCR country name</t>
  </si>
  <si>
    <t xml:space="preserve">Latin America &amp; Caribbean</t>
  </si>
  <si>
    <t xml:space="preserve">Other regions</t>
  </si>
  <si>
    <t xml:space="preserve">Venezuela (in-country record)</t>
  </si>
  <si>
    <t xml:space="preserve">Subregions follow migration corridors, not UN M49 geography. Mexico sits with Central America; Guianas and Caribbean are combined.</t>
  </si>
  <si>
    <t xml:space="preserve">Netherlands (Kingdom of the)</t>
  </si>
  <si>
    <t xml:space="preserve">United Kingdom of Great Britain and Northern Ireland</t>
  </si>
  <si>
    <t xml:space="preserve">Bolivia (Plurinational State of)</t>
  </si>
  <si>
    <t xml:space="preserve">Curacao</t>
  </si>
  <si>
    <t xml:space="preserve">Dominican Rep.</t>
  </si>
  <si>
    <t xml:space="preserve">United States of America</t>
  </si>
  <si>
    <t xml:space="preserve">Rep. of Korea</t>
  </si>
  <si>
    <t xml:space="preserve">Venezuela (Bolivarian Republic of)</t>
  </si>
  <si>
    <t xml:space="preserve">Data quality: what to know before drawing conclusions</t>
  </si>
  <si>
    <t xml:space="preserve">Issue log on the left is my review of the file and footnotes. Checks and coverage on the right are live formulas.</t>
  </si>
  <si>
    <t xml:space="preserve">Issue log</t>
  </si>
  <si>
    <t xml:space="preserve">Automatic checks</t>
  </si>
  <si>
    <t xml:space="preserve">#</t>
  </si>
  <si>
    <t xml:space="preserve">Severity</t>
  </si>
  <si>
    <t xml:space="preserve">Where</t>
  </si>
  <si>
    <t xml:space="preserve">What I found</t>
  </si>
  <si>
    <t xml:space="preserve">Effect on analysis</t>
  </si>
  <si>
    <t xml:space="preserve">How it is handled here</t>
  </si>
  <si>
    <t xml:space="preserve">Check</t>
  </si>
  <si>
    <t xml:space="preserve">Result</t>
  </si>
  <si>
    <t xml:space="preserve">Expected</t>
  </si>
  <si>
    <t xml:space="preserve">High</t>
  </si>
  <si>
    <t xml:space="preserve">Whole file</t>
  </si>
  <si>
    <t xml:space="preserve">The extract has no population-type column. The only Venezuela-specific footnote says "Refugees includes people in a refugee-like situation" (2020-2025). Chile also carries a footnote that "other people in need of international protection" are estimated from the Regional Refugee and Migrant Response Plan.</t>
  </si>
  <si>
    <t xml:space="preserve">Totals blend legal categories. You cannot separate recognised refugees, asylum-seekers, residence-permit holders and estimated others.</t>
  </si>
  <si>
    <t xml:space="preserve">Treated as one measure: "people recorded abroad". Re-download from UNHCR with the population-type split if you need it.</t>
  </si>
  <si>
    <t xml:space="preserve">Rows in Data</t>
  </si>
  <si>
    <t xml:space="preserve">Values are year-end stocks, not arrivals or departures.</t>
  </si>
  <si>
    <t xml:space="preserve">Year-on-year change mixes new arrivals with onward movement, returns, naturalisation, regularisation and revised estimates.</t>
  </si>
  <si>
    <t xml:space="preserve">Labelled "change in recorded stock". Never described as flow.</t>
  </si>
  <si>
    <t xml:space="preserve">Duplicate year + country rows</t>
  </si>
  <si>
    <t xml:space="preserve">United States 2025</t>
  </si>
  <si>
    <t xml:space="preserve">Footnote: USCIS data covers January-September only, and new asylum applications carry no nationality. 2023-24 footnote says temporary statuses are not reflected.</t>
  </si>
  <si>
    <t xml:space="preserve">The 2025 fall from 648k to 435k is probably partly a reporting artefact. US figures are likely a floor.</t>
  </si>
  <si>
    <t xml:space="preserve">Flagged in Data note. Shown in dashboard with a warning marker.</t>
  </si>
  <si>
    <t xml:space="preserve">Rows where female age bands do not add to female total</t>
  </si>
  <si>
    <t xml:space="preserve">Colombia 2023</t>
  </si>
  <si>
    <t xml:space="preserve">Age bands are shifted: 5-11 is zero and 12-17 holds ages 5-17.</t>
  </si>
  <si>
    <t xml:space="preserve">Any chart of 5-11 versus 12-17 is wrong for 2023.</t>
  </si>
  <si>
    <t xml:space="preserve">Age bands are merged into 5-17 everywhere in this workbook.</t>
  </si>
  <si>
    <t xml:space="preserve">Rows where male age bands do not add to male total</t>
  </si>
  <si>
    <t xml:space="preserve">Venezuela (in-country) record</t>
  </si>
  <si>
    <t xml:space="preserve">Rows where asylum country and origin are both Venezuela (up to 3.2M in 2022-23, 196k in 2025). Population type is not stated. 2023 is identical to 2022 in Total, and its 60+ values sit in the "Other" column.</t>
  </si>
  <si>
    <t xml:space="preserve">Including it would add people who are not abroad.</t>
  </si>
  <si>
    <t xml:space="preserve">Kept in Data, excluded from every abroad total. Scope column = "In-country record".</t>
  </si>
  <si>
    <t xml:space="preserve">Rows where female + male exceeds the total</t>
  </si>
  <si>
    <t xml:space="preserve">Medium</t>
  </si>
  <si>
    <t xml:space="preserve">Guatemala, Honduras 2022-2025</t>
  </si>
  <si>
    <t xml:space="preserve">Totals jump from about 100 to tens of thousands, then fall in 2025 (Guatemala 97k to 15k, Honduras 85k to 19k).</t>
  </si>
  <si>
    <t xml:space="preserve">Looks like transit or short-stay counting or a method change, not settled population. Needs confirmation from national migration data.</t>
  </si>
  <si>
    <t xml:space="preserve">Flagged. Reported as volatile, not as a trend.</t>
  </si>
  <si>
    <t xml:space="preserve">Rows with a data note</t>
  </si>
  <si>
    <t xml:space="preserve">n/a</t>
  </si>
  <si>
    <t xml:space="preserve">Chile 2023</t>
  </si>
  <si>
    <t xml:space="preserve">Total identical to 2022 (444,423).</t>
  </si>
  <si>
    <t xml:space="preserve">Carried-forward value. 2024 change then overstates real growth.</t>
  </si>
  <si>
    <t xml:space="preserve">Flagged in Data note.</t>
  </si>
  <si>
    <t xml:space="preserve">Rows with sex/age for under 25% of a 1,000+ total</t>
  </si>
  <si>
    <t xml:space="preserve">Aruba, Curaçao</t>
  </si>
  <si>
    <t xml:space="preserve">Round-number estimates (17,000; 14,000; 11,470) repeated across years.</t>
  </si>
  <si>
    <t xml:space="preserve">Cannot be used for trend.</t>
  </si>
  <si>
    <t xml:space="preserve">Flagged. Included in totals; effect is under 0.4% of the whole.</t>
  </si>
  <si>
    <t xml:space="preserve">Countries in Lookups missing a subregion</t>
  </si>
  <si>
    <t xml:space="preserve">Footnote: figure combines refugee status, subsidiary protection, temporary protection and humanitarian-reason permits (humanitarian reasons were 73% in 2021 and 32% in 2024).</t>
  </si>
  <si>
    <t xml:space="preserve">Spain is a residence-permit stock, not a refugee count. Not comparable with asylum-based countries.</t>
  </si>
  <si>
    <t xml:space="preserve">Female and male totals cover 48% of the recorded people in 2020 and 77% in 2025. Many large destinations report only a total.</t>
  </si>
  <si>
    <t xml:space="preserve">Demographic shares describe the countries that report, mostly Colombia, Peru, Ecuador, Spain, Brazil, Chile.</t>
  </si>
  <si>
    <t xml:space="preserve">Coverage is shown beside every demographic table.</t>
  </si>
  <si>
    <t xml:space="preserve">Sex/age coverage of people recorded abroad, by year</t>
  </si>
  <si>
    <t xml:space="preserve">Low</t>
  </si>
  <si>
    <t xml:space="preserve">"Other" age columns</t>
  </si>
  <si>
    <t xml:space="preserve">Female Other and Male Other hold people whose age is not reported (for example Ecuador 2021-2023, Chile 2021-2023). They are not a third sex category.</t>
  </si>
  <si>
    <t xml:space="preserve">Misread as "other gender".</t>
  </si>
  <si>
    <t xml:space="preserve">Renamed "Age unknown".</t>
  </si>
  <si>
    <t xml:space="preserve">Total abroad</t>
  </si>
  <si>
    <t xml:space="preserve">Coverage</t>
  </si>
  <si>
    <t xml:space="preserve">Destinations with data</t>
  </si>
  <si>
    <t xml:space="preserve">Small values</t>
  </si>
  <si>
    <t xml:space="preserve">Counts under 5 are suppressed and small values are rounded to multiples of 5.</t>
  </si>
  <si>
    <t xml:space="preserve">Tiny destinations are noisy.</t>
  </si>
  <si>
    <t xml:space="preserve">Left as given.</t>
  </si>
  <si>
    <t xml:space="preserve">Country coverage</t>
  </si>
  <si>
    <t xml:space="preserve">The file lists 62 destinations in 2020 and 54 in 2025 because zero or suppressed countries are dropped.</t>
  </si>
  <si>
    <t xml:space="preserve">A country that disappears is not necessarily a country with no Venezuelans.</t>
  </si>
  <si>
    <t xml:space="preserve">No imputation.</t>
  </si>
  <si>
    <t xml:space="preserve">Names</t>
  </si>
  <si>
    <t xml:space="preserve">"Curacao " had a trailing space; long UN names were shortened for charts (original kept on Lookups).</t>
  </si>
  <si>
    <t xml:space="preserve">None.</t>
  </si>
  <si>
    <t xml:space="preserve">Cleaned.</t>
  </si>
  <si>
    <t xml:space="preserve">Coverage rises from under half to about three quarters, so sex and age shares are not comparable year to year unless the country set is held constant.</t>
  </si>
  <si>
    <t xml:space="preserve">UNHCR footnotes (full file)</t>
  </si>
  <si>
    <t xml:space="preserve">Column G marks footnotes that bear on this extract: they name Venezuela, or concern a destination country in the data for a refugee, asylum or protection population.</t>
  </si>
  <si>
    <t xml:space="preserve">Country of origin</t>
  </si>
  <si>
    <t xml:space="preserve">Population type</t>
  </si>
  <si>
    <t xml:space="preserve">Footnote</t>
  </si>
  <si>
    <t xml:space="preserve">Relevant to this extract</t>
  </si>
  <si>
    <t xml:space="preserve">2020 - 2022</t>
  </si>
  <si>
    <t xml:space="preserve">OIP</t>
  </si>
  <si>
    <t xml:space="preserve">Other people in need of international protection refers to people who are outside their country or territory of origin, typically because they have been forcibly displaced across international borders, who have not been reported under other categories (asylum-seekers, refugees, people in refugee-like situations) but who likely need international protection, including protection against forced return, as well as access to basic services on a temporary or longer-term basis.</t>
  </si>
  <si>
    <t xml:space="preserve">Yes: category definition</t>
  </si>
  <si>
    <t xml:space="preserve">2023</t>
  </si>
  <si>
    <t xml:space="preserve">IDP</t>
  </si>
  <si>
    <t xml:space="preserve">The National Victims Registry of Colombia contains the historical accumulated figure of the number of victims of displacement which continues to increase, given that victims continue to be registered in the country. Thus, the total number of persons recognized as victims of displacement (more than 8.5 million), includes the number of IDPs who are subject to attention and/or reparation, i.e. those who meet the requirements to access the measures of attention and reparation established in Colombian Law 1448 (6.9 million). The number of victims of displacement who are deceased, direct victims of forced disappearance and homicide, and other victims who, for various reasons, cannot effectively access these measures, are identified as not being subject to attention or reparation and therefore not included in the figure of 6.9 million. The figure is constantly updated, considering that by legal definition, victims have up to two years to make their declaration and be included in the registry system. See the summary: https://www.unidadvictimas.gov.co/es/registro-unico-de-victimas-ruv/37394.</t>
  </si>
  <si>
    <t xml:space="preserve">No</t>
  </si>
  <si>
    <t xml:space="preserve">2022</t>
  </si>
  <si>
    <t xml:space="preserve">Thailand</t>
  </si>
  <si>
    <t xml:space="preserve">THA</t>
  </si>
  <si>
    <t xml:space="preserve">STA</t>
  </si>
  <si>
    <t xml:space="preserve">The total statelessness figure includes 573,898 stateless persons reported by the Royal Thai Government and registered with the national civil registration system by the end of 2022. The figure includes 321 stateless persons of Rohingya ethnicity from Myanmar who are also counted as others of concern to UNHCR.</t>
  </si>
  <si>
    <t xml:space="preserve">2021</t>
  </si>
  <si>
    <t xml:space="preserve">In situ stateless figure is as of end-2020.</t>
  </si>
  <si>
    <t xml:space="preserve">2023 - 2024</t>
  </si>
  <si>
    <t xml:space="preserve">Dem. Rep. of the Congo</t>
  </si>
  <si>
    <t xml:space="preserve">COD</t>
  </si>
  <si>
    <t xml:space="preserve">The IDP figure differs from those agreed and communicated by UN OCHA, given the exlusion of IDPs due to disasters, in line with UNHCR methodology.</t>
  </si>
  <si>
    <t xml:space="preserve">Malaysia</t>
  </si>
  <si>
    <t xml:space="preserve">MYS</t>
  </si>
  <si>
    <t xml:space="preserve">The total stateless population in Malaysia includes 9,392 non-displaced stateless persons who may be entitled to Malaysian nationality under the law. This number of non-displaced stateless persons is based on a registration and community legal assistance programme undertaken in West Malaysia by a local NGO with technical support from UNHCR. The total statelessness figure reported also includes 107,678 stateless persons of Rohingya ethnicity who are also counted as refugees or asylum-seekers from Myanmar, mainly from Rakhine State.</t>
  </si>
  <si>
    <t xml:space="preserve">The total statelessness figure reported relates to 2,089 stateless persons who are also counted as refugees or asylum-seekers. There are also indications that a potentially sizable population of non-displaced stateless persons exists for whom no data is available.</t>
  </si>
  <si>
    <t xml:space="preserve">The total statelessness figure includes 586,548 stateless persons reported by the Royal Thai Government and registered with the national civil registration system by the end of 2023. The figure includes 584 stateless persons of Rohingya ethnicity from Myanmar who are also counted as refugees.</t>
  </si>
  <si>
    <t xml:space="preserve">2021 - 2022</t>
  </si>
  <si>
    <t xml:space="preserve">Kenya</t>
  </si>
  <si>
    <t xml:space="preserve">KEN</t>
  </si>
  <si>
    <t xml:space="preserve">The figure is based on an estimate of 18,500 in 2019 by UNHCR with input from stateless communities, taking account of the registration by the Government of Kenya in 2020 of 1,670 stateless persons of Shona descent. These individuals were granted Kenyan citizenship in 2021.</t>
  </si>
  <si>
    <t xml:space="preserve">REF,ASY,IDP,STA,OOC,HST,OIP</t>
  </si>
  <si>
    <t xml:space="preserve">The data is based on the registered population as of end-2020, as data for 2021 was not available at time of publication apart from the data on asylum-seekers, which was sourced from Eurostat, and resettlement which was sourced from the Federal Agency for the Reception of Asylum Seekers.</t>
  </si>
  <si>
    <t xml:space="preserve">Yes: destination country</t>
  </si>
  <si>
    <t xml:space="preserve">The UK's statelessness figure shows the number of stateless individuals recognized through the UK's stateless determination procedure since it began in 2013. Since 2019, the total figure has been corrected to only include initial grants of leave following individuals’ recognition as stateless.</t>
  </si>
  <si>
    <t xml:space="preserve">2024 - 2025</t>
  </si>
  <si>
    <t xml:space="preserve">With regards to stateless statistics, the figure for non-displaced stateless is based on results from the 2021 Population Census, deducting the figures of stateless refugees and stateless asylum-seekers.</t>
  </si>
  <si>
    <t xml:space="preserve">REF</t>
  </si>
  <si>
    <t xml:space="preserve">In Thailand, the number of new refugee arrivals is not available, but the Operation Centre for Displaced Persons, Ministry of Interior of Thailand, estimates that 52,000 refugees fled Myanmar and subsequently returned home from Thailand’s Temporary Safety Areas.</t>
  </si>
  <si>
    <t xml:space="preserve">Pakistan</t>
  </si>
  <si>
    <t xml:space="preserve">PAK</t>
  </si>
  <si>
    <t xml:space="preserve">The 1.7 million refugees includes around 1,316,800 registered refugees, around 140,900 unregistered members of registered families who were being verified at the time of reporting and were recorded through the documentation renewal and information verification exercise (DRIVE) and around 286,100 Afghans who arrived in the country on or after 1 January 2021.</t>
  </si>
  <si>
    <t xml:space="preserve">Tajikistan</t>
  </si>
  <si>
    <t xml:space="preserve">TJK</t>
  </si>
  <si>
    <t xml:space="preserve">Based on the information reported in the media as well as UNHCR protection monitoring activities, UNHCR estimates there to be 3,000 people of various origins in Tajikistan who may be in need of international protection.</t>
  </si>
  <si>
    <t xml:space="preserve">Ukraine</t>
  </si>
  <si>
    <t xml:space="preserve">UKR</t>
  </si>
  <si>
    <t xml:space="preserve">The numbers reported in Ukraine are an extrapolation of the 2001 census figure of persons who self-declared as not having a nationality. It includes 6,176 persons who are registered as stateless by the Ministry of the Interior of Ukraine.</t>
  </si>
  <si>
    <t xml:space="preserve">Kazakhstan</t>
  </si>
  <si>
    <t xml:space="preserve">KAZ</t>
  </si>
  <si>
    <t xml:space="preserve">Based on the information reported in the media as well as UNHCR protection monitoring activities, UNHCR estimates there to be 42,412 people of various origins in Kazakhstan who may be in need of international protection.</t>
  </si>
  <si>
    <t xml:space="preserve">The overall figures for Spain include refugee status (11%), subsidiary protection (16%) and humanitarian reasons (73%).</t>
  </si>
  <si>
    <t xml:space="preserve">UNHCR continues to report on the 2,534 refugees and 36,241 stateless people until their status and whereabouts can be ascertained. For asylum-seekers, end of year figures account also for those who confirmed their spontaneous departure to UNHCR from February 2022. The others of concern figure at end-2022 corresponds to the number of conflict-affected, non-displaced people assisted by UNHCR during the year.</t>
  </si>
  <si>
    <t xml:space="preserve">Angola</t>
  </si>
  <si>
    <t xml:space="preserve">AGO</t>
  </si>
  <si>
    <t xml:space="preserve">The numbers refer to mid-2020, as data for end-2020 was not available at time of publication.</t>
  </si>
  <si>
    <t xml:space="preserve">The number of refugees was rebased using updated data on the number of residence permit holder with refugee status and temporary protection holders by the end of 2022, available from Eurostat.</t>
  </si>
  <si>
    <t xml:space="preserve">The National Victims Registry of Colombia contains the historical accumulated figure of the number of victims of displacement which continues to increase, given that victims continue to be registered in the country. Thus, the total number of persons recognized as victims of displacement (more than 8.7 million), includes the number of IDPs who are subject to attention and/or reparation, i.e. those who meet the requirements to access the measures of attention and reparation established in Colombian Law 1448 (7 million). The number of victims of displacement who are deceased, direct victims of forced disappearance and homicide, and other victims who, for various reasons, cannot effectively access these measures, are identified as not being subject to attention or reparation and therefore not included in the figure of 7 million. The figure is constantly updated, considering that by legal definition, victims have up to two years to make their declaration and be included in the registry system. See the summary: https://www.unidadvictimas.gov.co/es/registro-unico-de-victimas-ruv/.</t>
  </si>
  <si>
    <t xml:space="preserve">From various sources such as civil status offices, health institutions, schools, municipal child protection units, and social services, UNHCR estimates the number of people with undetermined nationality (at risk of statelessness).</t>
  </si>
  <si>
    <t xml:space="preserve">The total statelessness figure reported relates to 874 stateless persons of Rohingya ethnicity who are also counted as refugees or asylum-seekers from Myanmar, mainly from Rakhine State. UNHCR’s statistical reporting generally follows a methodology that reports only one legal status for each person of concern. However, due to the size of the stateless Rohingya population displaced from Myanmar, UNHCR considers it important to reflect the dual status of this population group as both displaced and stateless. This approach is being used for Indonesia for the first time in 2019. There are also indications that a potentially sizable population of non-displaced stateless persons exists for whom no data is available.</t>
  </si>
  <si>
    <t xml:space="preserve">The United States of America has also offered temporary status in certain circumstances to people in need of international protection. UNHCR is in discussions with the U.S. government about how to best reflect such datapoints for all relevant populations in future reporting cycles.</t>
  </si>
  <si>
    <t xml:space="preserve">Saudi Arabia</t>
  </si>
  <si>
    <t xml:space="preserve">SAU</t>
  </si>
  <si>
    <t xml:space="preserve">ASY</t>
  </si>
  <si>
    <t xml:space="preserve">Only those asylum-seekers facing acute or imminent protection risks are registered by UNHCR. In addition, there are some 3,900 other asylum-seekers who were individually assessed, counselled and advised to inform UNHCR of any changes in their situation, which would justify a decision to register them.</t>
  </si>
  <si>
    <t xml:space="preserve">Uzbekistan</t>
  </si>
  <si>
    <t xml:space="preserve">UZB</t>
  </si>
  <si>
    <t xml:space="preserve">Authorities in Uzbekistan confirmed that the number of stateless persons with permanent residence has decreased below 20,000, leading to a revision of the previous statistics as of 31 December 2023. The figures will be reviewed once official data for 2024 becomes available. Information on categories of statelessness, other than stateless persons with permanent residence is unavailable.</t>
  </si>
  <si>
    <t xml:space="preserve">Figures include persons at risk of statelessness (undetermined nationality) on the basis of the 2021 census, stateless persons registered with the Croatian Ministry of the Interior and information on stateless refugees and asylum-seekers reported by the Ministry of Interior.</t>
  </si>
  <si>
    <t xml:space="preserve">The stateless statistics include: (a) the number of stateless asylum seekers by end-year reported by the Finnish authorities; (b) the number of stateless refugees by end-year based on UNHCR's estimation of refugees in Finland (recognized asylum-seekers over that past 10-years) as well as those with temporary protection status by end-year; and (c) the number of non-displaced stateless persons (those with other non-protection related types of permits) based on data from Statistics Finland corresponding to the resident population recorded as "Stateless" as of 1 January 2026, deducting the estimated number of stateless refugees.</t>
  </si>
  <si>
    <t xml:space="preserve">Latvia</t>
  </si>
  <si>
    <t xml:space="preserve">LVA</t>
  </si>
  <si>
    <t xml:space="preserve">With respect to persons under UNHCR’s statelessness mandate, this figure includes persons of concern covered by two separate Latvian laws. 160 persons fall under the Republic of Latvia’s Law on Stateless Persons on 17 February 2004. 209,007 of the persons fall under Latvia’s 25 April 1995 Law on the Status of those Former USSR Citizens who are not Citizens of Latvia or Any Other State (“Non-citizens”). In the specific context of Latvia, the “Non-citizens” enjoy the right to reside in Latvia ex lege and a set of rights and obligations generally beyond the rights prescribed by the 1954 Convention relating to the Status of Stateless Persons, including protection from removal, and as such the “Non-citizens” may currently be considered persons to whom the Convention does not apply in accordance with Article 1.2(ii).</t>
  </si>
  <si>
    <t xml:space="preserve">South Sudan</t>
  </si>
  <si>
    <t xml:space="preserve">SSD</t>
  </si>
  <si>
    <t xml:space="preserve">The reported figure is a preliminary estimate of persons of undetermined nationality by UNHCR. The start-year estimate is based on the UNHCR 2018 statelessness study which documents specific profiles of groups at risk of statelessness in South Sudan. During 2024, 19,561 people at risk of statelessness were assessed and issued nationality certificates. 27,411 additional people of undetermined nationality status were identified.</t>
  </si>
  <si>
    <t xml:space="preserve">Cote d'Ivoire</t>
  </si>
  <si>
    <t xml:space="preserve">CIV</t>
  </si>
  <si>
    <t xml:space="preserve">The new statelessness figure is based on a 2019 mapping study jointly conducted by the Government and UNHCR.</t>
  </si>
  <si>
    <t xml:space="preserve">2022 - 2025</t>
  </si>
  <si>
    <t xml:space="preserve">The IDP figure can be found at CONAPO (2021) "Diagnóstico nacional sobre la situación del desplazamiento forzado interno en México" (https://www.gob.mx/cms/uploads/attachment/file/681782/Diagn_stico_nacional_sobre_la_situaci_n_del_desplazamiento_forzado_interno.pdf), where it is mentioned that 262,411 IDPs were displaced due to insecurity causes (pg18) and 24,376 IDPs due to disasters (pg 49). These calculations are based on 2020 Population and Housing Census carried out by INEGI.</t>
  </si>
  <si>
    <t xml:space="preserve">With respect to persons under UNHCR’s statelessness mandate, this figure includes persons of concern covered by two separate Latvian laws. 159 persons fall under the Republic of Latvia’s Law on Stateless Persons on 17 February 2004. 180,455 of the persons fall under Latvia’s 25 April 1995 Law on the Status of those Former USSR Citizens who are not Citizens of Latvia or Any Other State (“Non-citizens”). In the specific context of Latvia, the “Non-citizens” enjoy the right to reside in Latvia ex lege and a set of rights and obligations generally beyond the rights prescribed by the 1954 Convention relating to the Status of Stateless Persons, including protection from removal, and as such the “Non-citizens” may currently be considered persons to whom the Convention does not apply in accordance with Article 1.2(ii).</t>
  </si>
  <si>
    <t xml:space="preserve">The decrease in the stateless population in Iceland between 2022 and 2023 is due to de-duplication of figures reported in previous years.</t>
  </si>
  <si>
    <t xml:space="preserve">In November 2017, jointly with the MoI and the MLSW, UNHCR carried out a field verification of all ex-Yugoslav refugees with unresolved status issues, including those at potential risk of statelessness. The field exercise covered 2,318 individuals (including 42% children) in 20 out of 23 municipalities. Based on the verification results, UNHCR reported on at least 145 persons at risk of statelessness and 460 in a statelessness like situation.  During 2022 their number decreased for 46 persons, however new 47 persons at risk of statelessness were identified through a formal statelessness determination procedure introduced in 2018, leading to the total number of 494 persons at risk of statelessness at the end of 2022. By the end of 2022, 9 more persons were recognized as stateless by the Ministry of Interior of Montenegro. Some 46 persons acquired nationality during the year.</t>
  </si>
  <si>
    <t xml:space="preserve">The 1.5 million refugees includes around 1,252,800 registered refugees, around 129,700 unregistered members of registered families who were being verified at the time of reporting and were recorded through the documentation renewal and information verification exercise (DRIVE) and around 108,000 Afghans who arrived in the country on or after 1 January 2021.</t>
  </si>
  <si>
    <t xml:space="preserve">The decrease reflects acquisition or confirmation of nationality and updated estimates of stateless refugees in Bulgaria.</t>
  </si>
  <si>
    <t xml:space="preserve">Asylum applications which are reported as cases can be multiplied overall by average number of person per case of 1.5 when summarising the data by country of asylum, but not origin.  This is due to the significant variance in the average case size by country of origin.</t>
  </si>
  <si>
    <t xml:space="preserve">Nepal</t>
  </si>
  <si>
    <t xml:space="preserve">NPL</t>
  </si>
  <si>
    <t xml:space="preserve">Various studies estimate that a large number of individuals lack citizenship certificates in Nepal. While these individuals are not all necessarily stateless, UNHCR has been working closely with the Government of Nepal and partners to address this situation. 371 stateless persons of Rohingya ethnicity who are also counted as refugees or asylum-seekers from Myanmar, mainly from Rakhine State, are reported in Nepal. UNHCR’s statistical reporting generally follows a methodology that reports only one legal status for each person of concern. However, due to the size of the stateless Rohingya population displaced from Myanmar, UNHCR considers it important to reflect the dual status of this population group as both displaced and stateless. This approach is being used for Nepal for the first time in 2020.</t>
  </si>
  <si>
    <t xml:space="preserve">This figure is a combination of data published by the National Institute of Statistics (552 as of 1 January 2021), as well as estimates from NGOs on the number of persons who are stateless or at risk of statelessness present in Italy (see the advocacy paper of the Working Group on Statelessness, https://tavoloapolidia.org/app/uploads/2021/09/Advocacy-Paper-Tavolo-Apolidia_2021_def.pdf).</t>
  </si>
  <si>
    <t xml:space="preserve">The decrease in the stateless population in Denmark between 2022 and 2023 is due to de-duplication of figures reported in previous years.</t>
  </si>
  <si>
    <t xml:space="preserve">Philippines</t>
  </si>
  <si>
    <t xml:space="preserve">PHL</t>
  </si>
  <si>
    <t xml:space="preserve">The updated figure is based on improved information concerning persons of Indonesian descent who have acquired nationality. The total statelessness figure reported also includes 11 stateless persons of Rohingya ethnicity who are also counted as refugee or asylum-seeker from Myanmar, mainly from Rakhine State.</t>
  </si>
  <si>
    <t xml:space="preserve">The estimated figure of stateless persons in Lebanon is around 40,000. However, there is no official data on the scope of statelessness in Lebanon. Recent studies, including a 2021 study in Akkar undertaken by UNHCR and SIREN Associates, indicate that an estimated 27,000 to 40,000 persons in Lebanon lack a nationality. This does not include any estimate of statelessness amongst populations displaced to Lebanon, or of populations that may be at risk of statelessness. This reported figure will be reviewed as more information becomes available.</t>
  </si>
  <si>
    <t xml:space="preserve">Uganda</t>
  </si>
  <si>
    <t xml:space="preserve">UGA</t>
  </si>
  <si>
    <t xml:space="preserve">The figure represents a rudimentary estimate of in situ stateless persons. These estimates were provided by representatives from these unrecognized communities. The estimated figures have not been verified or confirmed by the government of Uganda and UNHCR and UNHCR is planning to support government efforts to gather official statistics on stateless persons and persons of undetermined nationality in Uganda.</t>
  </si>
  <si>
    <t xml:space="preserve">With regards to stateless statistics, the number of stateless persons at end-year in Sweden are based on data reported by the Swedish Migration Agency including stateless refugees (3,183), stateless asylum-seekers (127) and stateless persons with other non-protection related types of permits (2,528).</t>
  </si>
  <si>
    <t xml:space="preserve">With regards to stateless statistics, the figure is an estimate based on UNHCR legal partner case management and government data on refugees who are stateless or with unknown nationality, and may not represent the full magnitude of statelessness in Slovenia.</t>
  </si>
  <si>
    <t xml:space="preserve">A population census in 2021, resulted in a revision of the number of persons under international protection living in Canada, which was previously estimated by UNHCR. Year-end stock refers to protected persons who are yet to acquire permanent resident status.</t>
  </si>
  <si>
    <t xml:space="preserve">Japan</t>
  </si>
  <si>
    <t xml:space="preserve">JPN</t>
  </si>
  <si>
    <t xml:space="preserve">In 2022, people provided international protection on the basis of the humanitarian situation in their country of origin were reported as in a refugee-like situation.</t>
  </si>
  <si>
    <t xml:space="preserve">The reported figure is a preliminary estimate of persons of undetermined nationality by UNHCR. A previous estimate of 18,000 was revised, as UNHCR expects that more people in South Sudan will need help confirming their nationality in the future. Therefore, at the end of 2025, about 60,600 additional people are estimated to be at risk of statelessness and in need of support. These figures do not represent the number of stateless people, but rather those UNHCR expects to assist in confirming their nationality.</t>
  </si>
  <si>
    <t xml:space="preserve">The first official estimate of the number of IDPs is reported in Guatemala. The figure of 573,000 IDPs is derived from the 2023 National Living Conditions Survey.</t>
  </si>
  <si>
    <t xml:space="preserve">With regards to refugee statistics, since 2024 the number of refugees in Sweden are based on data reported by authorities of persons with valid residence permits issued on the basis of international protection.</t>
  </si>
  <si>
    <t xml:space="preserve">With regards to refugee statistics, the number of recognized refugees in Norway are based on data reported by authorities of persons with valid residence permits for asylum as of 1 January 2025, adding increases (e.g. recognitions, resettlement) and deducting decreases (e.g. refugee status cessation and naturalizations) during 2025 as reported by authorities, and adding the stock of temporary protection holders in Norway by end-2025.</t>
  </si>
  <si>
    <t xml:space="preserve">South Africa</t>
  </si>
  <si>
    <t xml:space="preserve">ZAF</t>
  </si>
  <si>
    <t xml:space="preserve">In South Africa, all refugees and asylum-seekers with valid permits were considered to be active during the COVID-19 pandemic era as long as their permit’s expiry dates were after the breakout of the pandemic. With the resumption of normal services in 2022, many permits have been inactivated and are therefore considered to be administrative closures.  In total, some 72,200 individuals either did not extend their permits or the extended permits became inactive by the end of the year. Individuals whose permits have been inactivated can reapply although asylum-seekers and refugees have reported challenges in accessing the online renewal system.</t>
  </si>
  <si>
    <t xml:space="preserve">Figure from the 2011 census. It includes 27 persons registered as stateless by the Government of Croatia.</t>
  </si>
  <si>
    <t xml:space="preserve">Estimates of the number of Ukrainians in a refugee-like situation in Montenegro are based on data reported by the Border Police on persons who regulated their status in Montenegro as per the Law on Foreigners, outside of the Temporary Protection regime.</t>
  </si>
  <si>
    <t xml:space="preserve">Armenia</t>
  </si>
  <si>
    <t xml:space="preserve">ARM</t>
  </si>
  <si>
    <t xml:space="preserve">In the South Caucasus region, 141,900 refugees fled to Armenia with most of them arriving after renewed armed conflict in Karabakh in September 2023. As of the end of 2025, over 27,000 refugees from Karabakh acquired Armenian citizenship. Naturalization efforts continue.</t>
  </si>
  <si>
    <t xml:space="preserve">The Lebanese government estimates that 1.5 million Syrians are in Lebanon (some 755,400 registered by UNHCR as well as 10,000 asylum-seekers and refugees of other nationalities).</t>
  </si>
  <si>
    <t xml:space="preserve">2020 - 2021</t>
  </si>
  <si>
    <t xml:space="preserve">Figure from the 2011 census.</t>
  </si>
  <si>
    <t xml:space="preserve">Egypt</t>
  </si>
  <si>
    <t xml:space="preserve">EGY</t>
  </si>
  <si>
    <t xml:space="preserve">The number of reported stateless people reflects only those registered with, or otherwise individually known to, UNHCR. It does not include an estimate of all stateless people in the country.</t>
  </si>
  <si>
    <t xml:space="preserve">Iran (Islamic Rep. of)</t>
  </si>
  <si>
    <t xml:space="preserve">IRN</t>
  </si>
  <si>
    <t xml:space="preserve">This includes around 770,500 refugees and 27,800 UNHCR pre-registered new arrivals, reported as refugee-like. Based on information received from the Government in October 2020, the Islamic Republic of Iran hosts 800,000 refugees, of which 780,000 are Afghan Amayesh cardholders and 20,000 are Iraqi Hoviat cardholders. These cards effectively offer refugee status to their holders. UNHCR has been in continuous engagement with the authorities in relation to these figures ever since. In view of the absence of updated data, UNHCR sought to estimate the changes in the refugee population considering the natural growth and onward movements, estimating the total to be some 770,000 refugees (out of which 750,000 were Afghans and 20,000 Iraqis).</t>
  </si>
  <si>
    <t xml:space="preserve">The figure includes individuals recognised as stateless (refugees, asylum-seekers and not displaced persons) and individuals who filed a new application to request recognition as a stateless person and who are pending resolution.</t>
  </si>
  <si>
    <t xml:space="preserve">UNHCR is currently working with the authorities and other actors to determine the size of the population affected by ruling 168-13 that found an effective nationality solution. Since the adoption of Law 169-14 in May 2014, important steps have been taken by the Dominican Republic to confirm Dominican nationality through the validation of birth certificates of individuals born in the country to two migrant parents before 2007. According to information shared by the Dominican delegation during the 2019 High-Level Segment on Statelessness, approximately 48% of the total Group A population of 61,049 persons had been authorized by the National Electoral Board (JCE) to request their nationality documentation. Additionally, as of December 2020, over 1,830 Group B persons (800 of which were children) – out of the 7,159 approved individuals who had applied to the regularization plan established in Law 169-14 - had submitted applications for naturalization to the Ministry of Interior and of the Police (MIP). Up until December 2022, two naturalization decrees had been issued granting Dominican nationality to 799 applicants, all of whom are still pending to receive nationality documentation.</t>
  </si>
  <si>
    <t xml:space="preserve">Sri Lanka</t>
  </si>
  <si>
    <t xml:space="preserve">LKA</t>
  </si>
  <si>
    <t xml:space="preserve">Figures are as of mid-2025.</t>
  </si>
  <si>
    <t xml:space="preserve">Rwanda</t>
  </si>
  <si>
    <t xml:space="preserve">RWA</t>
  </si>
  <si>
    <t xml:space="preserve">This figure presents an estimate of persons with undetermined nationality or those at risk of statelessness, based on a survey conducted by the Directorate General of Immigration and Emigration (DGIE) in 2010, which found approximately 9,500 persons to be at risk of statelessness. The 2023 population and housing census led to the identification of areas where populations reside who are stateless or at the risk thereof. A mapping exercise by the National Statelessness Taskforce led to the identification of additional populations (approx. 5,000 people) of undetermined nationality or at risk of statelessness.</t>
  </si>
  <si>
    <t xml:space="preserve">Based on new arrivals information in the report of international organizations and UNHCR protection monitoring activities, UNHCR estimates there to be 23,400 people of various origins in Kyrgyzstan who may be in need of international protection.</t>
  </si>
  <si>
    <t xml:space="preserve">Turkmenistan</t>
  </si>
  <si>
    <t xml:space="preserve">TKM</t>
  </si>
  <si>
    <t xml:space="preserve">In the absence of official data, the figure reported refers to stateless persons and persons with undetermined nationality identified by UNHCR partner organizations in Turkmenistan. The increase in the reported figure is due to the identification of new people in stateless situations.</t>
  </si>
  <si>
    <t xml:space="preserve">Only those asylum-seekers facing acute or imminent protection risks are registered by UNHCR. In addition, there are some 12,400 other asylum-seekers who were individually assessed, counselled and advised to inform UNHCR of any changes in their situation, which would justify a decision to register them.</t>
  </si>
  <si>
    <t xml:space="preserve">The total statelessness figure reported includes 25 stateless persons of Rohingya ethnicity who are also counted as refugees or asylum-seekers from Myanmar, mainly from Rakhine State.</t>
  </si>
  <si>
    <t xml:space="preserve">China</t>
  </si>
  <si>
    <t xml:space="preserve">CHN</t>
  </si>
  <si>
    <t xml:space="preserve">The 303,100 Vietnamese refugees are well integrated and in practice receive protection from the Government of China.</t>
  </si>
  <si>
    <t xml:space="preserve">From various sources such as civil status offices, health institutions, schools, municipal child protection units, and social services, UNHCR estimates the number of people with undetermined nationality (at risk of statelessness). The start-year figures are based on an identification exercise conducted in 2021 which identified a further 1,120 persons at risk of statelessness, subtracting the number of undocumented persons who had their nationality confirmed by the Albanian authorities in 2021. During 2022, an additional 350 people were assisted to confirm their nationalities through administrative and/or judicial procedures, out of which 238 were fully resolved.</t>
  </si>
  <si>
    <t xml:space="preserve">In Thailand, the number of new refugee arrivals is not available, but the Operation Centre for Displaced Persons, Ministry of Interior of Thailand, estimates that 54,500 refugees fled Myanmar and subsequently returned home from Thailand’s Temporary Safety Areas as of June 2025.</t>
  </si>
  <si>
    <t xml:space="preserve">With regard to the statelessness figures, in 2020, Colombia granted nationality by birth to 7,700 children with undetermined nationality born in Colombia to Venezuelan parents displaced abroad. As these children were both identified as persons with undetermined nationality and granted Colombian nationality in 2020, there was no impact on the figures reported.</t>
  </si>
  <si>
    <t xml:space="preserve">The Albanian Government conducted the Population and Housing Census during the period of September–October 2023. The results of the census are expected to be published by the end of June 2024 and the number of persons at risk of statelessness identified will be updated accordingly.
The start-year figures are based on an identification exercise conducted in 2021 which identified a further 1,120 persons at risk of statelessness, subtracting the number of undocumented persons who had their nationality confirmed by the Albanian authorities in 2021. During 2022, an additional 350 people were assisted to confirm their nationalities through administrative and/or judicial procedures, out of which 238 were fully resolved.</t>
  </si>
  <si>
    <t xml:space="preserve">The total statelessness figure reported relates to 925 stateless persons, primarily of Rohingya ethnicity who are also counted as refugees or asylum-seekers from Myanmar, mainly from Rakhine State. There are indications that a potentially sizable population of non-displaced stateless persons exists for whom no data is available.</t>
  </si>
  <si>
    <t xml:space="preserve">The total statelessness figure reported relates to 22,694 stateless persons of Rohingya ethnicity who are also counted as refugees or asylum-seekers from Myanmar, mainly from Rakhine State. The reported figure does not represent an estimate of the entire stateless population.</t>
  </si>
  <si>
    <t xml:space="preserve">Estimates of the stateless population are based on 2023 census data.</t>
  </si>
  <si>
    <t xml:space="preserve">Official statistics on the size of the refugee population are not available. UNHCR refugee population estimates are based on the cumulative number of recognized asylum-seekers over the past 10 years, plus the reported number of beneficiaries of Temporary Protection in the country by end-2025.</t>
  </si>
  <si>
    <t xml:space="preserve">The statistics of stateless/undetermined nationality have been revised as per the updated data received from the Ministry of Interior (as of end-2024). Based on this, the figure of 954 (other stateless persons according to 2011 census) has been removed. This is to note that the latest 2021 census did not include the category of stateless persons, therefore these are not reported.</t>
  </si>
  <si>
    <t xml:space="preserve">No official data on the actual number of refugees residing in Bulgaria is available. The estimate includes 74,300 Ukrainians who received temporary protection, and 34,400 other refugees.</t>
  </si>
  <si>
    <t xml:space="preserve">Figure is based on a registration exercise in 2015 in three regions, leading to the registration of 842 people as stateless by the Ministry of Internal Affairs of Tajikistan.The additional 2,985 persons reflects individuals identified by UNHCR partners as at risk of statelessness or with undetermined nationality awaiting a solution from the government, as well as individuals who obtained residency permits for stateless persons reported by UNHCR partners.</t>
  </si>
  <si>
    <t xml:space="preserve">The UK’s stateless figures show the number of stateless individuals recognised through the UK's stateless determination procedure since it began in 2013. In previous years, this figure has been calculated by adding all grants of stateless leave. This resulted in unavoidable double counting for stateless individuals who were applying for further statelessness leave after the expiry of their initial grant of leave. The UK Government has now provided data for initial and subsequent grants. The subsequent grants have therefore been removed from the previous cumulative figure between 2013 - 2018. Since 2019, the cumulative figure now only includes initial grants of leave following individuals’ recognition as stateless. As of 2023, the total number of individuals recognised under UK’s statelessness determination procedure is 362. UNHCR further provides the number of asylum-seekers and refugees whose nationality has been recorded as ‘stateless’ as part of the asylum process. For this group there has been no formal determination that they are stateless.The number of 'stateless' asylum-seekers in the UK awaiting a decision has been revised, following decisions on their asylum claims during the year.</t>
  </si>
  <si>
    <t xml:space="preserve">The stateless statistics figure is a combination of data published by the National Institute of Statistics (570 as of 1 January 2024), as well as estimates from NGOs on the number of persons who are stateless or at risk of statelessness present in Italy.</t>
  </si>
  <si>
    <t xml:space="preserve">Syrian Arab Rep.</t>
  </si>
  <si>
    <t xml:space="preserve">SYR</t>
  </si>
  <si>
    <t xml:space="preserve">According to some reports many stateless persons have been naturalized since 2011, but no official figures are yet confirmed. The reported figures will be reviewed as more information becomes available.</t>
  </si>
  <si>
    <t xml:space="preserve">2021, 2023 - 2025</t>
  </si>
  <si>
    <t xml:space="preserve">The statelessness figure is based on a 2019 mapping study jointly conducted by the Government and UNHCR.</t>
  </si>
  <si>
    <t xml:space="preserve">Russian Federation</t>
  </si>
  <si>
    <t xml:space="preserve">RUS</t>
  </si>
  <si>
    <t xml:space="preserve">By the end of 2021, UNHCR reported 54,025 stateless persons in the Russian Federation. This estimation was based on the number of self-proclaimed stateless persons identified during the 2010 census (178,000), from whom the number of persons who obtained Russian citizenship throughout the reporting periods was subtracted on a yearly basis since 2011. According to the results of the 2020 All-Russia Census finalized at end 2022, some 95,193 persons declared themselves stateless and this figure was taken as a baseline for statistics on statelessness for 2022, causing an increase of 41,139 in estimated statelessness population figures for Russia compared to end-2021 (but still a decrease compared to latest Census).</t>
  </si>
  <si>
    <t xml:space="preserve">In 2020, the refugee estimates were updated using the data provided by ISTAT for 2019, augmented with the decisions on asylum applications provided by the Ministry of Interior in 2020. The ISTAT statistics provide the total number of people with valid refugee residence permits, disaggregated for the 50 most common countries of origins. This resulted in a reduction in the start-year refugee population of 91,200 refugees.</t>
  </si>
  <si>
    <t xml:space="preserve">With regards to refugee statistics, since 2024 the number of refugees in Iceland are based on data reported by authorities of persons with valid residence permits issued on the basis of international protection, subsidiary protection, resettlement or family reasons and adding beneficiaries of temporary protection. It does not include refugees who have been granted permanent residence permits. The figures replace previous refugee stock estimations conducted by UNHCR.</t>
  </si>
  <si>
    <t xml:space="preserve">Cambodia</t>
  </si>
  <si>
    <t xml:space="preserve">KHM</t>
  </si>
  <si>
    <t xml:space="preserve">The figure is based on an estimate provided in 2020 of ethnic Vietnamese persons whose legal identity documents were withdrawn and whose nationality is undetermined.</t>
  </si>
  <si>
    <t xml:space="preserve">The reported statelessness figures for 2025 are based on the available and up-to-date data sources. The actual scale of statelessness is, however, undetermined and likely higher owing to the ongoing war, temporary occupation and large-scale forced displacement.</t>
  </si>
  <si>
    <t xml:space="preserve">With regards to refugee statistics, since 2024 the number of refugees in Iceland are based on data reported by authorities of persons with valid residence permits issued on the basis of international protection, subsidiary protection, resettlement or family reasons and adding beneficiaries of temporary protection. It does not include refugees who have been granted permanent residence permits.</t>
  </si>
  <si>
    <t xml:space="preserve">Iraq</t>
  </si>
  <si>
    <t xml:space="preserve">IRQ</t>
  </si>
  <si>
    <t xml:space="preserve">Pending a more accurate study into statelessness in Iraq, the estimated reduction of stateless persons in Iraq has been adjusted to reflect the reduction of statelessness in line with Law 26 of 2006, which allows stateless persons to apply for nationality in certain circumstances.</t>
  </si>
  <si>
    <t xml:space="preserve">With regards to stateless statistics, the figures include: (a) the number of stateless asylum seekers at end-year as reported by the Norwegian authorities; (b) the number of stateless refugees at start-year with valid residence permit and increases (e.g. recognitions) or decreases (e.g. refugee status cessation and naturalisations) through the year as reported by Norwegian authorities; and (c) the number of non-displaced stateless persons (those with other non-protection related types of permits) based on data from Statistics Norway corresponding to the resident population recorded as "Stateless" as of 1 January 2026, deducting the estimated number of stateless refugees at end-year.</t>
  </si>
  <si>
    <t xml:space="preserve">The figures are based on a registration exercise in 2015 in three regions, leading to the registration of 842 people as stateless by the Ministry of Internal Affairs of Tajikistan and has increased until end-2025 to 1,579, as additional people were identified. The remaining 2,401 persons reflects individuals identified by UNHCR partners as at risk of statelessness or with undetermined nationality awaiting a solution from the government, as well as individuals who obtained residency permits for stateless persons reported by UNHCR partners. During 2025, 1857 people were able to acquire nationality.</t>
  </si>
  <si>
    <t xml:space="preserve">Papua New Guinea</t>
  </si>
  <si>
    <t xml:space="preserve">PNG</t>
  </si>
  <si>
    <t xml:space="preserve">The figures reported reflects stateless persons of Rohingya ethnicity who are also counted as refugees from Myanmar, mainly from Rakhine State. The figure reflected does not represent an estimation of the entire stateless population.</t>
  </si>
  <si>
    <t xml:space="preserve">Afghanistan</t>
  </si>
  <si>
    <t xml:space="preserve">AFG</t>
  </si>
  <si>
    <t xml:space="preserve">Some information about stateless persons in the country is available, however it is not yet sufficiently reliable to produce estimates of the size of the population.</t>
  </si>
  <si>
    <t xml:space="preserve">Official statistics on the size of the refugee population are not available. UNHCR refugee population estimates is based on the cumulative number of recognized asylum-seekers over the past 10 years, plus the reported number of beneficiaries of Temporary Protection in the country by end-2024.</t>
  </si>
  <si>
    <t xml:space="preserve">The total statelessness figure includes 610,300 stateless persons reported by the Royal Thai Government and registered with the national civil registration system by the end of December 2025, as well as other stateless individuals known to UNHCR, including permanent residents of Thailand who have not yet been granted nationality.</t>
  </si>
  <si>
    <t xml:space="preserve">REF,ASY</t>
  </si>
  <si>
    <t xml:space="preserve">Statistics for the United States of America in 2025 are based on official data published by the United States Citizenship and Immigration Services (USCIS) and the Executive Office for Immigration Review (EOIR). EOIR data covers the full year. USCIS data is reported as cases from January to September 2025, on this basis UNHCR counts one person per case. USCIS data does not include the applicants’ nationality for new asylum applications.</t>
  </si>
  <si>
    <t xml:space="preserve">The figures reported reflects stateless persons of Rohingya ethnicity who are also counted as refugees from Myanmar, mainly from Rakhine State.  The figure reflected does not represent an estimation of the entire stateless population.</t>
  </si>
  <si>
    <t xml:space="preserve">Various studies estimate that a significant number of individuals originally from Nepal lack citizenship certificates. While these individuals originally from Nepal are not all necessarily stateless, UNHCR has been working closely with the Government of Nepal and partners to address this situation. 475 stateless persons of Rohingya ethnicity who are also counted as refugees or asylum-seekers from Myanmar, mainly from Rakhine State, are reported in Nepal.</t>
  </si>
  <si>
    <t xml:space="preserve">Azerbaijan</t>
  </si>
  <si>
    <t xml:space="preserve">AZE</t>
  </si>
  <si>
    <t xml:space="preserve">In 2023, UNHCR conducted an extensive identification exercise of stateless persons in Azerbaijan using both government and UNHCR registers. The exercise was able to account for 513 stateless person, which was used as the start year figure. During 2024, 306 individuals at risk of statelessness were able to acquire citizenship. Additional persons of undetermined nationality were identified during the year, resulting in a total of 271 stateless persons in the country at end-year based on information from the State Migration Service, the Ministry of Internal Affairs and UNHCR.</t>
  </si>
  <si>
    <t xml:space="preserve">2020 - 2025</t>
  </si>
  <si>
    <t xml:space="preserve">UNHCR is verifying the number of stateless persons with the Government of Saudi Arabia.</t>
  </si>
  <si>
    <t xml:space="preserve">Yemen</t>
  </si>
  <si>
    <t xml:space="preserve">YEM</t>
  </si>
  <si>
    <t xml:space="preserve">The reduction of about 109,400 is due to improved estimates of Somali refugees in Yemen. Starting in September 2020, UNHCR has been working with the authorities and other actors to improve estimates of refugee and asylum-seeker statistics in Yemen.</t>
  </si>
  <si>
    <t xml:space="preserve">The methodology for estimating the number of refugees in Australia is under review and subject to adjustment in future reports. The asylum-seeker figure is based on the number of applications lodged for protection visas.</t>
  </si>
  <si>
    <t xml:space="preserve">The number of refugees was re-calculated based on the refugee data, as provided by the government. The overall figures for Spain include refugee status (8%), subsidiary protection (9%), temporary protection (51%) and humanitarian reasons (32%).</t>
  </si>
  <si>
    <t xml:space="preserve">Estimates of the number of Ukrainians in a refugee-like situation in Montenegro were revised.</t>
  </si>
  <si>
    <t xml:space="preserve">The total statelessness figure reported relates to 23,262 stateless persons of Rohingya ethnicity who are also counted as refugees or asylum-seekers from Myanmar, mainly from Rakhine State. The reported figure does not represent an estimate of the entire stateless population.</t>
  </si>
  <si>
    <t xml:space="preserve">The UK’s stateless figures show the number of stateless individuals recognised through the UK's stateless determination procedure since it began in 2013. In previous years, this figure has been calculated by adding all grants of stateless leave. This resulted in unavoidable double counting for stateless individuals who were applying for further statelessness leave after the expiry of their initial grant of leave. The UK Government has now provided data for initial and subsequent grants. The subsequent grants have therefore been removed from the previous cumulative figure between 2013 - 2018. Since 2019, the cumulative figure now only includes initial grants of leave following individuals’ recognition as stateless. At the end of 2021, the total number of individuals recognised under UK’s statelessness determination procedure is 258. UNHCR further provides the number of asylum-seekers and refugees whose nationality has been recorded as ‘stateless’ as part of the asylum process. For this group there has been no formal determination that they are stateless.</t>
  </si>
  <si>
    <t xml:space="preserve">The total statelessness figure reported relates to 18,174 stateless persons of Rohingya ethnicity who are also counted as refugees or asylum-seekers from Myanmar, mainly from Rakhine State. UNHCR’s statistical reporting generally follows a methodology that reports only one legal status for each person of concern. However, due to the size of the stateless Rohingya population displaced from Myanmar, UNHCR considers it important to reflect the dual status of this population group as both displaced and stateless. This approach was used for India for the first time in 2019. The reported figure does not represent an estimate of the entire stateless population.</t>
  </si>
  <si>
    <t xml:space="preserve">In October 2020, UNHCR Iran received the data on total number of refugees from the Government of the Islamic Republic of Iran, on which consultations are ongoing. According to it, 800,000 refugee card holders reside in the Islamic Republic of Iran, 780,000 of whom are Afghans and 20,000 Iraqis. The last time the Iranian Government had shared information on Afghan refugee population was in May 2015, when according to it 951,410 Afghan refugees resided in Iran; the Iraqi refugee population data was shared in 2013, and according to it 28,268 Iraqi refugees resided in Iran. UNHCR is in consultations with the authorities to understand the reasons behind the decrease reported in 2020 data (170,081 for Afghan refugees and 8,268 for Iraqi refugees).</t>
  </si>
  <si>
    <t xml:space="preserve">Various studies estimate that a significant number of individuals originally from Nepal lack citizenship certificates. While these individuals originally from Nepal are not all necessarily stateless, UNHCR has been working closely with the Government of Nepal and partners to address this situation. 465 stateless persons of Rohingya ethnicity who are also counted as refugees or asylum-seekers from Myanmar, mainly from Rakhine State, are reported in Nepal.</t>
  </si>
  <si>
    <t xml:space="preserve">Libya</t>
  </si>
  <si>
    <t xml:space="preserve">LBY</t>
  </si>
  <si>
    <t xml:space="preserve">The increase in the number of refugees and asylum-seekers in Libya is due to the arrival in 2024 of a total of  228,800 Sudanese. Almost 30,800 of them were registered as asylum-seekers by UNHCR and the remaining 198,000 are estimated based on the issuance of health cards in areas outside of Tripoli and reported as people in a refugee-like situation.</t>
  </si>
  <si>
    <t xml:space="preserve">OOC</t>
  </si>
  <si>
    <t xml:space="preserve">The others of concern figure corresponds to the number of conflict-affected, non-displaced people assisted by UNHCR during the year.</t>
  </si>
  <si>
    <t xml:space="preserve">Based on the information reported in the media as well as UNHCR protection monitoring activities, UNHCR estimates there to be 2,300 people of various origins in Tajikistan who may be in need of international protection.</t>
  </si>
  <si>
    <t xml:space="preserve">Updated figure from the Portuguese Immigration Service referring to 2013.</t>
  </si>
  <si>
    <t xml:space="preserve">The total statelessness figure includes 561,329 non-displaced stateless persons reported by the Royal Thai Government and registered with the national civil registration system as of December 2021. The figure includes 198 stateless persons of Rohingya ethnicity from Myanmar who are also counted as others of concern to UNHCR.</t>
  </si>
  <si>
    <t xml:space="preserve">The statelessness figure refers to stateless persons with permanent residence reported by the Government of Uzbekistan in November 2020 under the XII Report on compliance of Uzbekistan with CERD. Information on other categories of statelessness is unavailable.</t>
  </si>
  <si>
    <t xml:space="preserve">With regards to stateless statistics, the figures include: (a) the number of stateless asylum seekers at year-end reported by the Danish authorities; (b) the number of stateless refugees by year-end (including temporary protection holders) with valid residence permit as reported by Danish authorities; and (c) the number of non-displaced stateless persons (those with other non-protection related types of permits) based on data from Statistics Denmark corresponding to the resident population recorded as "Stateless" as of 1 January 2026, deducting the estimated number of stateless refugees at year-end.</t>
  </si>
  <si>
    <t xml:space="preserve">Statistics on asylum applications and decisions processed by the government of Rwanda are reported by UNHCR based on information shared by Government of Rwanda. The comprehensive data is however only available with the government of Rwanda. 
Please also note, that small figures have been redacted for data protection reasons. Among asylum applications decided upon by the government of Rwanda, the total number of recognised asylum-seekers in 2022 was 41, while 103 applications were rejected and 27 cased were otherwise closed. 
Statistics on applications and decisions processed by UNHCR, reflect case processing for the purpose of durable solutions as part of the Emergency Transit Mechanism (ETM).</t>
  </si>
  <si>
    <t xml:space="preserve">The figure for the Russian Federation includes 65,400 Ukrainians who were granted refugee or temporary asylum status, as well as those recorded in the country in 2022 under other forms of stay.</t>
  </si>
  <si>
    <t xml:space="preserve">In January 2024, the Government of Turkmenistan released for the first time ever official statistical information on stateless persons. Previously, in the absence of official data, the figure reported refers to stateless persons and persons with undetermined nationality identified by UNHCR partner organizations in Turkmenistan. Given the discrepancies between partner organizations figures and official figures as of 31 Dec 2023, UNHCR plans to continue crosschecking of partners’ database with the Turkmen authorities in 2024 in order to ensure accurate reporting for 2024. The decrease in the reported figure corresponds to those people who were naturalized or who had another nationality confirmed.</t>
  </si>
  <si>
    <t xml:space="preserve">When presenting statistics on internal displacement, UNHCR applies two different sources: the Internal Displacement Monitoring Centre’s IDP statistics are incorporated in the total forcibly displaced while those IDPs protected/assisted by UNHCR are included in the total population that UNHCR protects and/or assists.  The two sources of IDP data vary significantly in certain countries.</t>
  </si>
  <si>
    <t xml:space="preserve">Figures include persons at risk of statelessness (undetermined nationality) on the basis of the 2022 census, stateless persons registered with the Croatian Ministry of the Interior and information on stateless refugees and asylum-seekers reported by the Ministry of Interior.</t>
  </si>
  <si>
    <t xml:space="preserve">An improved methodology to estimate the number of refugees hosted in the United States of America, using official statistics from US Citizenship and Immigration Services, led to a decrease of the refugee stock within the country.</t>
  </si>
  <si>
    <t xml:space="preserve">The total statelessness figure reported relates to 20,154 stateless persons of Rohingya ethnicity who are also counted as refugees or asylum-seekers from Myanmar, mainly from Rakhine State. The reported figure does not represent an estimate of the entire stateless population.</t>
  </si>
  <si>
    <t xml:space="preserve">733 persons were naturalized or granted citizenship in 2025. Since December 2021 the data on number of staleless persons is provided by the Government.</t>
  </si>
  <si>
    <t xml:space="preserve">Asylum applications which are reported as cases can be multiplied overall by average number of person per case of 1.3 when summarising the data by country of asylum, but not origin.  This is due to the significant variance in the average case size by country of origin.</t>
  </si>
  <si>
    <t xml:space="preserve">No official data on the actual number of refugees residing in Bulgaria is available. According to estimates, between 1,000 and 2,000 refugees and humanitarian status holders remain in the country. It is expected that the 2021 National Census, which will include the first-time refugee and stateless populations, will provide more accurate data.</t>
  </si>
  <si>
    <t xml:space="preserve">Various studies estimate that a significant number of individuals originally from Nepal lack citizenship certificates. While these individuals originally from Nepal are not all necessarily stateless, UNHCR has been working closely with the Government of Nepal and partners to address this situation. 489 stateless persons of Rohingya ethnicity who are also counted as refugees or asylum-seekers from Myanmar, mainly from Rakhine State, are reported in Nepal.</t>
  </si>
  <si>
    <t xml:space="preserve">Türkiye</t>
  </si>
  <si>
    <t xml:space="preserve">TUR</t>
  </si>
  <si>
    <t xml:space="preserve">The total figure of refugees and asylum-seekers by end-2025 is based on official data published by the Turkish Government, which reflect the total population under International Protection as well as the population under Temporary Protection. As official end-year figures under International Protection by country of origin and population group are not available, UNHCR utilized data from previous year to estimate the respective populations of asylum-seekers and refugees under International Protection by nationality.</t>
  </si>
  <si>
    <t xml:space="preserve">Belgium includes a 'stateless' category in its National Registry, which records people who have been recognised as stateless and issued long-term residence permits in Belgium. There are also stateless people who are not counted in the National Registry data, for example, people awaiting determination of their statelessness, people recognised as stateless but not granted a residence permit, stateless people holding a short-term residence permit, and stateless people in the asylum procedure.</t>
  </si>
  <si>
    <t xml:space="preserve">The total statelessness figure reported relates to 22,646 stateless persons of Rohingya ethnicity who are also counted as refugees or asylum-seekers from Myanmar, mainly from Rakhine State. The reported figure does not represent an estimate of the entire stateless population.</t>
  </si>
  <si>
    <t xml:space="preserve">The figure is based on the 2024 National Housing &amp; Population Census report which shows that there are 10,284 persons who identified themselves as members of indigenous communities, namely Bagabu, Bakingwe, Benet and Maragoli, that are not listed as nationals of Uganda in the Third Schedule to the Constitution. However, this may not represent the entirety of the stateless population in the country.</t>
  </si>
  <si>
    <t xml:space="preserve">The numbers reported in Ukraine are an extrapolation of the 2001 census figure of persons who self-declared as not having a nationality. It includes 5,815 persons who are registered as stateless by the Ministry of the Interior of Ukraine.</t>
  </si>
  <si>
    <t xml:space="preserve">At end-2025, 1 million Afghans were, for the first time, reported as other people in need of international protection in five countries. Previously, these Afghans had been reported as people in a refugee-like situation. The reclassification includes 7,700 Afghans in Uzbekistan.</t>
  </si>
  <si>
    <t xml:space="preserve">The decrease in the stateless population in France between 2023 and 2024 is due to de-duplication of figures reported in previous years.</t>
  </si>
  <si>
    <t xml:space="preserve">This figure is a combination of data published by the National Institute of Statistics (550 as of 1 January 2020), as well as estimates from NGOs on the number of persons who are stateless or at risk of statelessness present in Italy. The estimate number of stateless persons in Italy used to be between 3,000 to 15,000, and was reviewed in 2021 following the publication of the report of the Association 21 luglio “Fantasmi Urbani” (https://www.21luglio.org/2018/wp-content/uploads/2021/02/fantasmi-urbani-edit.pdf).</t>
  </si>
  <si>
    <t xml:space="preserve">The total statelessness figure includes 480,549 non-displaced stateless persons reported by the Royal Thai Government and registered with the national civil registration system as of December 2020. The figure includes 119 stateless persons of Rohingya ethnicity from Myanmar who are also counted as others of concern to UNHCR. UNHCR’s statistical reporting generally follows a methodology that reports only one status for each person of concern. However, due to the size of the stateless Rohingya population displaced from Myanmar, UNHCR considers it important to reflect the dual status of this population group as others of concern to UNHCR and stateless. This approach has been used for Thailand for the first time in 2019.</t>
  </si>
  <si>
    <t xml:space="preserve">In October 2024, the Government of Turkmenistan announced the resolution of all known cases of statelessness in the country, following the naturalization of a final group of 1,146 stateless people in September 2024. In February 2025, the Government reported that, as of 31 December 2024, there were no remaining stateless people in Turkmenistan. Since 2017, UNHCR has relied on figures reported by its partner organizations, as official statistical data was not made available by the authorities. In 2023, UNHCR partners launched a verification exercise to cross-check their database on stateless persons and those with undetermined nationality. This process continued in 2024 and confirmed the Government’s report. As part of the exercise, individuals were contacted to verify their current legal status. The findings showed that many had been naturalized in recent years, some had confirmed foreign nationality, and others had passed away. This verification exercise, combined with the official information provided by the Government, confirms that there are now zero officially registered stateless people in Turkmenistan. The decrease in the reported figure corresponds to those people who were naturalized or who had another nationality confirmed.</t>
  </si>
  <si>
    <t xml:space="preserve">With respect to persons under UNHCR’s statelessness mandate, this figure includes persons of concern covered by two separate Latvian laws. 167 persons fall under the Republic of Latvia’s Law on Stateless Persons on 17 February 2004. 167,510 of the persons fall under Latvia’s 25 April 1995 Law on the Status of those Former USSR Citizens who are not Citizens of Latvia or Any Other State (“Non-citizens”). In the specific context of Latvia, the “Non-citizens” enjoy the right to reside in Latvia ex lege and a set of rights and obligations generally beyond the rights prescribed by the 1954 Convention relating to the Status of Stateless Persons, including protection from removal, and as such the “Non-citizens” may currently be considered persons to whom the Convention does not apply in accordance with Article 1.2(ii).</t>
  </si>
  <si>
    <t xml:space="preserve">The figures for stateless individuals in Spain represent the 8,525 individuals recognized through the Spanish stateless determination procedure under the 1954 Convention relating to the Status of Stateless Persons, as well as 39 stateless refugees and 15 stateless asylum-seekers. Source: Permanent Observatory on Immigration, Spanish Ministry of Inclusion, Social Security and Migration.</t>
  </si>
  <si>
    <t xml:space="preserve">ASY,REF</t>
  </si>
  <si>
    <t xml:space="preserve">The Government of Egypt reported 1.5 million Sudanese people having arrived in the country since the onset of the crisis. See also the Sudan Situation on the Operational Data Portal.</t>
  </si>
  <si>
    <t xml:space="preserve">In situ figure based on the 2021 census. Figures for stateless refugees and stateless asylum-seekers have been de-duplicated from census data.</t>
  </si>
  <si>
    <t xml:space="preserve">Cabo Verde</t>
  </si>
  <si>
    <t xml:space="preserve">CPV</t>
  </si>
  <si>
    <t xml:space="preserve">The figure is from the 2010 census.</t>
  </si>
  <si>
    <t xml:space="preserve">With respect to persons under UNHCR’s statelessness mandate, this figure includes persons of concern covered by two separate Latvian laws. 157 persons fall under the Republic of Latvia’s Law on Stateless Persons on 17 February 2004. 173,729 of the persons fall under Latvia’s 25 April 1995 Law on the Status of those Former USSR Citizens who are not Citizens of Latvia or Any Other State (“Non-citizens”). In the specific context of Latvia, the “Non-citizens” enjoy the right to reside in Latvia ex lege and a set of rights and obligations generally beyond the rights prescribed by the 1954 Convention relating to the Status of Stateless Persons, including protection from removal, and as such the “Non-citizens” may currently be considered persons to whom the Convention does not apply in accordance with Article 1.2(ii).</t>
  </si>
  <si>
    <t xml:space="preserve">Data is as of end-2020, apart from the data on asylum-seekers, which was sourced from Eurostat.</t>
  </si>
  <si>
    <t xml:space="preserve">The decreased statistical data on refugees and subsidiary protection holders in Malta is primarily attributed to a revised/updated official data shared with UNHCR by the International Protection Agency under the Ministry of Home Affairs,  Security and Employment. The official governmental data (as of June 30, 2024) reflects the active international protection holders residing in Malta.</t>
  </si>
  <si>
    <t xml:space="preserve">The statelessness figure refers to stateless persons with permanent residence in Uzbekistan officially reported by the Government of Uzbekistan to UNHCR as of 31 December 2023. Information on other categories of statelessness is unavailable.</t>
  </si>
  <si>
    <t xml:space="preserve">The figure for the Russian Federation includes 6,894 Ukrainians who were granted refugee or temporary asylum status by end-2024. Moreover, as of mid-2023 an estimated 1.2 million Ukrainians were recorded in the Russian Federation under different legal forms of stay (other than refugee or temporary asylum status) and reported by UNHCR as persons in a refugee-like situation. However, this figure has not been updated since June 2023, and therefore can no longer be included in UNHCR’s official statistics for end of 2024.</t>
  </si>
  <si>
    <t xml:space="preserve">Myanmar</t>
  </si>
  <si>
    <t xml:space="preserve">MMR</t>
  </si>
  <si>
    <t xml:space="preserve">The estimated figure of persons of concern under the statelessness mandate relates to stateless persons of Rohingya ethnicity in Rakhine State and Yangon State, including stateless Rohingya IDPs in Myanmar. The number of persons of undetermined nationality residing in other states or regions in Myanmar is not currently available. The number of stateless people remaining in Rakhine State and Yangon State following violence in 2016 and 2017 and large scale departures to Bangladesh is based on detailed estimates for each village tract made by UNHCR, other UN agencies and NGOs in early 2018, which concluded that between 532,000 to 600,000 Rohingya remained in Rakhine State, increasing to 619,400 due to additional displacement by end-2024. Adjustments to this population by end-2025 were made based on updated data from accessible areas, remote monitoring for inaccessible areas and disaggregated data of arrivals from Myanmar to Bangladesh, as well as natural population growth.</t>
  </si>
  <si>
    <t xml:space="preserve">Ireland does not have a Statelessness Determination Procedure. Due to the lack of reliable data on potential cases of statelessness, the extent of statelessness in Ireland cannot be identified accurately. Therefore, the only data about stateless persons included is data pertaining to stateless refugees and stateless asylum seekers at mid-year as reported by Irish authorities.</t>
  </si>
  <si>
    <t xml:space="preserve">This figure is a combination of data published by the National Institute of Statistics (675 as of 1 January 2023), as well as estimates from NGOs on the number of persons who are stateless or at risk of statelessness present in Italy.</t>
  </si>
  <si>
    <t xml:space="preserve">In November 2017, jointly with the Ministry of the Interior of Montenegro (MoI) and the Ministry of Labor and Social Welfare, UNHCR carried out a field verification of all ex-Yugoslav refugees with unresolved legal status and persons at risk of statelessness, known to UNHCR at that time. The field exercise covered 2,318 individuals (including 42% children) in 20 out of 23 municipalities of Montenegro. Based on the verification results, in 2018 UNHCR reported at least 605 persons at risk of statelessness (145 at risk of statelessness and 460 in a statelessness like situation). During 2023 their number decreased for 125 persons. However, new 37 persons at risk of statelessness were identified in the field, leading to the total number of 406 persons at risk of statelessness at the end of 2023. In 2018 Montenegro introduced formal statelessness determination procedure in its legal system. By the end of 2023, 10 persons were officially recognized as stateless by the MoI through this procedure.</t>
  </si>
  <si>
    <t xml:space="preserve">Algeria</t>
  </si>
  <si>
    <t xml:space="preserve">DZA</t>
  </si>
  <si>
    <t xml:space="preserve">According to the Government of Algeria, there are an estimated 165,000 Sahrawi refugees in the Tindouf camps. Statistical data relating to refugees are entirely for humanitarian purposes. The total number of persons in need of humanitarian assistance services is estimated to be far higher than this figure.</t>
  </si>
  <si>
    <t xml:space="preserve">Zimbabwe</t>
  </si>
  <si>
    <t xml:space="preserve">ZWE</t>
  </si>
  <si>
    <t xml:space="preserve">A study is being pursued to provide a revised estimate of the statelessness figure.</t>
  </si>
  <si>
    <t xml:space="preserve">The updated figure is based on improved information concerning persons of Indonesian descent who have acquired nationality. The total statelessness figure reported also includes 5 stateless person of Rohingya ethnicity who is also counted as refugee or asylum-seeker from Myanmar, mainly from Rakhine State.</t>
  </si>
  <si>
    <t xml:space="preserve">With regards to stateless statistics, the figures include: (a) the number of stateless asylum seekers at end-year as reported by the Norwegian authorities; (b) the number of stateless refugees at year-end with valid residence permit as of 1 January 2024 and increases (e.g. recognitions) or decreases (e.g. refugee status cessation and naturalisations) through the year as reported by Norwegian authorities; and (c) the number of non-displaced stateless persons (those with other non-protection related types of permits) based on data from Statistics Norway corresponding to the resident population recorded as "Stateless" as of 1 January 2025, deducting the estimated number of stateless refugees at year-end.</t>
  </si>
  <si>
    <t xml:space="preserve">The official governmental data reflects the active international protection holders residing in Malta, based on official data shared with UNHCR by the International Protection Agency under the Ministry of Home Affairs, Security and Employment.</t>
  </si>
  <si>
    <t xml:space="preserve">Bahamas</t>
  </si>
  <si>
    <t xml:space="preserve">BHS</t>
  </si>
  <si>
    <t xml:space="preserve">All data is as of end-2022.</t>
  </si>
  <si>
    <t xml:space="preserve">UNHCR is currently working with the authorities and other actors to determine the size of the population that found an effective nationality solution under Law 169-14. Since the adoption of Law 169-14 in May 2014, important steps have been taken by the Dominican Republic to confirm Dominican nationality through the validation of birth certificates of individuals born in the country to two migrant parents before 2007. According to information shared by the Dominican delegation during the 2019 High-Level Segment on Statelessness, approximately 48 per cent of the total Group A population of 61,049 persons had been authorized by the National Electoral Board (JCE) to request their nationality documentation. Additionally, as of December 2019, over 1,700 Group B persons (900 of which were children) had submitted applications for naturalization to the Ministry of Interior and of the Police (MIP). However, no naturalization decisions concerning this population had been issued by end 2020.</t>
  </si>
  <si>
    <t xml:space="preserve">The figures for refugees and asylum-seekers are based on official data published by the Turkish Government, which reflect the total population under International Protection without a refugee or asylum seeker breakdown. As official year-end figures disaggregating asylum-seekers and refugees are not available, UNHCR utilized the available data to estimate the respective populations of asylum-seekers and refugees under International Protection.</t>
  </si>
  <si>
    <t xml:space="preserve">At end-2025, 1 million Afghans were, for the first time, reported as other people in need of international protection in five countries. Previously, these Afghans had been reported as people in a refugee-like situation. The reclassification includes 3,200 Afghans in Turkmenistan.</t>
  </si>
  <si>
    <t xml:space="preserve">Stateless figures in Australia are sourced from the Government. They consist of figures on stateless persons held in detention and those that have been issued or are in an application process for an “Onshore Humanitarian Visa” and have self-reported to be stateless. Australia does not have a separate statelessness status determination procedure and only provides statistics on humanitarian visas. Due to this, the figure reported here does not capture all stateless persons in Australia and is not an estimate of statelessness in Australia. Figures for stateless persons in detention come from the Australian Government Department of Home Affairs and Australian Border Force report on Immigration Detention and Community Statistics Summary 31 December 2023.</t>
  </si>
  <si>
    <t xml:space="preserve">With regards to stateless statistics, the number of stateless displaced persons have not been available for several years, hence current estimates may not reflect the real numbers currently in the country.</t>
  </si>
  <si>
    <t xml:space="preserve">Based on new arrivals information in the reports of international organizations and UNHCR protection monitoring activities, UNHCR estimates there to be 53,900 people of various origins in Kyrgyzstan reported as other people in need of international protection. Ukranians continue to be reported as people in a refugee-like situation.</t>
  </si>
  <si>
    <t xml:space="preserve">With regards to refugee statistics, since 2024 the number of refugees is Denmark are based on data reported by authorities of persons with valid residence permits for asylum as of 1 January 2024 and increases (e.g. recognitions) or decreases (e.g. refugee status cessation) through the year are as reported by authorities. Figures for temporary protection holders in Denmark are based on data by Eurostat. The figures replace previous refugee stock estimations conducted by UNHCR.</t>
  </si>
  <si>
    <t xml:space="preserve">There is no official data on statelessness in Poland. The reported figure refers to the number of stateless people holding a personal identification number issued by the Government, which does not cover all stateless people in the country. The figure additionally includes stateless asylum-seekers and refugees (including beneficiaries of temporary protection) in Poland.</t>
  </si>
  <si>
    <t xml:space="preserve">North Macedonia</t>
  </si>
  <si>
    <t xml:space="preserve">MKD</t>
  </si>
  <si>
    <t xml:space="preserve">The great majority are former Yugoslav citizens who have yet to have their nationality of North Macedonia formally recognized through the issuance of documents proving their nationality.</t>
  </si>
  <si>
    <t xml:space="preserve">Start-year figures come from the 2009 census, reporting 3585 stateless persons. In 2023, UNHCR conducted an extensive identification exercise of stateless persons in Azerbaijan using both government and UNHCR registers. The exercise was able to account for 513 stateless person. The government of Azerbaijan confirmed that between 2008 and 2023, 2306 stateless persons aquired citizenship of Azerbaijan.</t>
  </si>
  <si>
    <t xml:space="preserve">The number of other people in need of international protection is estimated from the RMRP.</t>
  </si>
  <si>
    <t xml:space="preserve">2020 - 2023</t>
  </si>
  <si>
    <t xml:space="preserve">The great majority are former Yugoslav citizens who have yet to have their nationality of North Macedonia formally recognized through the issuance of documents proving nationality.</t>
  </si>
  <si>
    <t xml:space="preserve">According to the results of the 2020 All-Russia Census finalized at end-2022, some 91,173 persons declared themselves stateless. The number of persons who have acquired Russian citizenship in each subsequent year has been subtracted from this total, including 2,035 persons who obtained Russian citizenship in 2024.</t>
  </si>
  <si>
    <t xml:space="preserve">Since 2023, the number of refugees is based on the data on refugee and temporary protection status holders at year-end as provided by authorities. The figures replace previous refugee stock estimations conducted by UNHCR.</t>
  </si>
  <si>
    <t xml:space="preserve">The total statelessness figure includes 589,800 stateless persons reported by the Royal Thai Government and registered with the national civil registration system by the end of 2024, as well as other stateless individuals known to UNHCR, including permanent residents of Thailand who have not yet been granted nationality. The figure includes 513 stateless persons of Rohingya ethnicity from Myanmar who are also counted as refugees.</t>
  </si>
  <si>
    <t xml:space="preserve">Nauru</t>
  </si>
  <si>
    <t xml:space="preserve">NRU</t>
  </si>
  <si>
    <t xml:space="preserve">The figures reported reflects stateless persons of Rohingya ethnicity who are also counted as refugees and asylum-seekers from Myanmar, mainly from Rakhine State. The figure reflected does not represent an estimation of the entire stateless population.</t>
  </si>
  <si>
    <t xml:space="preserve">Based on reports from international organizations, UNHCR estimates that there are approximately 3,400 Afghan nationals residing in Turkmenistan who are likely to be in need of international protection.</t>
  </si>
  <si>
    <t xml:space="preserve">The refugee population in Jordan includes 34,300 Iraqis registered with UNHCR. The Government of Jordan estimated the number of Iraqis at 400,000 individuals at the end of March 2015. This includes refugees and other categories of Iraqis.</t>
  </si>
  <si>
    <t xml:space="preserve">All data is as of May 2024.</t>
  </si>
  <si>
    <t xml:space="preserve">The figures are based on a registration exercise in 2015 in three regions, leading to the registration of 842 people as stateless by the Ministry of Internal Affairs of Tajikistan and has increased during 2024 to 1,582, as additional people were identified. The remaining 2,884 persons reflects individuals identified by UNHCR partners as at risk of statelessness or with undetermined nationality awaiting a solution from the government, as well as individuals who obtained residency permits for stateless persons reported by UNHCR partners. During 2024, 2,414 people were able to acquire nationality.</t>
  </si>
  <si>
    <t xml:space="preserve">With regards to stateless statistics, since 2024 the number of stateless persons at year-end in Sweden are based on data reported by the Swedish Migration Agency including stateless refugees (3,752), stateless asylum-seekers (236) and stateless persons with other non-protection related types of permits (3,027).</t>
  </si>
  <si>
    <t xml:space="preserve">The stateless statistics figure is a combination of data published by the National Institute of Statistics (630 as of 1 January 2025), as well as estimates from NGOs on the number of persons who are stateless or at risk of statelessness present in Italy.</t>
  </si>
  <si>
    <t xml:space="preserve">The estimated figure of persons of concern under the statelessness mandate relates to stateless persons of Rohingya ethnicity in Rakhine State, including stateless Rohingya IDPs in Myanmar. The number of persons of undetermined nationality residing in other states or regions in Myanmar is not currently available. The number of stateless people remaining in Rakhine State following violence in 2016 and 2017 and large scale departures to Bangladesh is based on detailed estimates for each village tract made by UNHCR, other UN agencies and NGOs in early 2018, which concluded that between 532,000 to 600,000 Rohingya remained in Rakhine State, increasing to 619,400 due to additional displacement (including an estimated 253,500 of those Rohingya who have been internally displaced).</t>
  </si>
  <si>
    <t xml:space="preserve">Based on the information reported in the media as well as UNHCR protection monitoring activities, UNHCR estimates there to be 1,600 people of various origins in Tajikistan reported as other people in need of international protection. Ukranians continue to be reported as people in a refugee-like situation.</t>
  </si>
  <si>
    <t xml:space="preserve">Official statistics on the size of the refugee population are not available. UNHCR refugee population estimates is based on the cumulative number of recognized asylum-seekers over the past 10 years. With regards to stateless statistics, the UK’s stateless figures show the number of stateless individuals recognised through the UK's stateless determination procedure since it began in 2013 (401 as of end-2025). UNHCR further provides the number of asylum-seekers and refugees whose nationality has been recorded as ‘stateless’ as part of the asylum process. For this group there has been no formal determination that they are stateless.</t>
  </si>
  <si>
    <t xml:space="preserve">Figure from the 2009 census.</t>
  </si>
  <si>
    <t xml:space="preserve">The total stateless population in Malaysia includes 9,200 non-displaced stateless people who may be entitled to Malaysian nationality under the law. This number of non-displaced stateless people is based on a registration and community legal assistance programme undertaken in West Malaysia by a local NGO with technical support from UNHCR. The total statelessness figure reported also includes 111,700 stateless persons of Rohingya ethnicity who are also counted as refugees or asylum-seekers from Myanmar, mainly from Rakhine State.</t>
  </si>
  <si>
    <t xml:space="preserve">Stateless persons reported by UNHCR correspond to recognized stateless persons who have been granted a residence permit in Belgium and who are therefore registered in the national register. It should be noted that recognized stateless persons who have not been granted a residence permit are not taken into account in figures provided by the Belgian Government. UNHCR no longer reports on the number of persons registered by the Belgian Government in the national register under categories such as “undetermined nationality” and “nationality not yet determined” as the definitions of these categories are broad and may encompass other groups than stateless persons.</t>
  </si>
  <si>
    <t xml:space="preserve">The total stateless population in Malaysia includes 9,200 non-displaced stateless people who may be entitled to Malaysian nationality under the law. This number of non-displaced stateless people is based on a registration and community legal assistance programme undertaken in West Malaysia by a local NGO with technical support from UNHCR. The total statelessness figure reported also includes 125,500 stateless persons of Rohingya ethnicity who are also counted as refugees or asylum-seekers from Myanmar, mainly from Rakhine State.</t>
  </si>
  <si>
    <t xml:space="preserve">2023 - 2025</t>
  </si>
  <si>
    <t xml:space="preserve">This figure reflects the number of stateless persons identified through a survey completed by UNHCR and a partner among various communities affected by statelessness, which led to 1,000 interviews being conducted, through which 233 individuals were considered to be stateless. This figure only captures stateless individuals known to UNHCR, while there are likely to be more people in the country who are stateless. It does not include any estimate of the stateless refugee population or persons of undetermined nationality, populations that are also typically included in official UNHCR statelessness statistics. Based on other data sources it is understood that there are also persons of those profiles in Iraq, and the reported figures will be reviewed as more information becomes available.</t>
  </si>
  <si>
    <t xml:space="preserve">This figure presents an estimate of persons with undetermined nationality/at risk of statelessness, based on a survey conducted by the Directorate General of Immigration and Emigration (DGIE) in 2010, which found approximately 9500 persons to be at risk of statelessness. Efforts are underway to conduct a survey that will provide an updated and reliable statistics in 2022.</t>
  </si>
  <si>
    <t xml:space="preserve">The total stateless population in Malaysia includes 9,040 non-displaced stateless persons who may be entitled to Malaysian nationality under the law. This number of non-displaced stateless persons is based on a registration and community legal assistance programme undertaken in West Malaysia by a local NGO with technical support from UNHCR. The total statelessness figure reported also includes 102,258 stateless persons of Rohingya ethnicity who are also counted as refugees or asylum-seekers from Myanmar, mainly from Rakhine State. UNHCR’s statistical reporting generally follows a methodology that reports only one legal status for each person of concern. However, due to the size of the stateless Rohingya population displaced from Myanmar, UNHCR considers it important to reflect the dual status of this population group as both displaced and stateless. This approach was used for Malaysia for the first time in 2019.</t>
  </si>
  <si>
    <t xml:space="preserve">In the Islamic Republic of Iran, some 2.6 million Afghans have been reported as people in a refugee-like situation. In 2022, the Government of the Islamic Republic of Iran conducted a recount of the previously "head counted" population and extended the scope of this scheme to all undocumented Afghans residing in the country, including those who had newly arrived due to the Taliban takeover in 2021 in Afghanistan. It is reported that 2.6 million Afghans enrolled in this exercise, which provides them with a headcount slip and temporary protection from deportation.</t>
  </si>
  <si>
    <t xml:space="preserve">The 2021 end-year statelessness figure refers to stateless persons with permanent residence in Uzbekistan officially reported by the Government of Uzbekistan to UNHCR as of 31 December 2021. Information on other categories of statelessness is unavailable. The reported figure includes a reduction of 2,200 people who acquired the citizenship of Uzbekistan from 1 to 31 December 2020, which was not included in the 2020 annual statistics as it was reported in February 2022.</t>
  </si>
  <si>
    <t xml:space="preserve">The decrease in the stateless population in Norway between 2022 and 2023 is due to de-duplication of figures reported in previous years.</t>
  </si>
  <si>
    <t xml:space="preserve">277 persons were naturalized or granted citizenship in 2023. Since December 2021 the data on number of staleless persons is provided by the Government.</t>
  </si>
  <si>
    <t xml:space="preserve">In Poland, the refugee population was rebased using the estimate of those likely to still be present on the territory of the State using the number of valid identity cards at year-end. This resulted in a reduction of some 10,200 refugees.</t>
  </si>
  <si>
    <t xml:space="preserve">Bosnia and Herzegovina</t>
  </si>
  <si>
    <t xml:space="preserve">BIH</t>
  </si>
  <si>
    <t xml:space="preserve">By mid-2022, there were 234 Ukrainian nationals, 73 of whom were protected, a further 73 under temporary residence on humanitarian grounds and 161 with non-visa stay.</t>
  </si>
  <si>
    <t xml:space="preserve">The overall figures for Spain include cases granted refugee status (4%), subsidiary protection (1%) and cases that were granted authorization to stay based on humanitarian reasons (37%).</t>
  </si>
  <si>
    <t xml:space="preserve">The 2022 statelessness figure refers to stateless persons with permanent residence in Uzbekistan officially reported by the Government of Uzbekistan to UNHCR as of 31 December 2022. Information on other categories of statelessness is unavailable.</t>
  </si>
  <si>
    <t xml:space="preserve">2022 - 2023</t>
  </si>
  <si>
    <t xml:space="preserve">The reported figure is a preliminary estimate of persons of undetermined nationality by UNHCR. The estimate is based on the UNHCR 2018 statelessness study which documents specific profiles of groups at risk of statelessness in South Sudan.</t>
  </si>
  <si>
    <t xml:space="preserve">Only those asylum-seekers facing acute or imminent protection risks are registered by UNHCR. There are some 13,400 other asylum-seekers who were individually assessed, counselled and advised to inform UNHCR of any changes in their situation, which would justify a decision to register them.</t>
  </si>
  <si>
    <t xml:space="preserve">The statelessness figure is based on a 2019 mapping study jointly conducted by the Government and UNHCR. On 30 June 2022, the cessation clause for Ivorian refugees recommended by UNHCR came into effect.</t>
  </si>
  <si>
    <t xml:space="preserve">Also, only those asylum-seekers facing acute or imminent protection risks are registered by UNHCR. In addition, there are some 3,900 other asylum-seekers who were individually assessed, counselled and advised to inform UNHCR of any changes in their situation, which would justify a decision to register them.</t>
  </si>
  <si>
    <t xml:space="preserve">The UK’s stateless figures show the number of stateless individuals recognised through the UK's stateless determination procedure since it began in 2013. In previous years, this figure has been calculated by adding all grants of stateless leave. This resulted in unavoidable double counting for stateless individuals who were applying for further statelessness leave after the expiry of their initial grant of leave. The UK Government has now provided data for initial and subsequent grants. The subsequent grants have therefore been removed from the previous cumulative figure between 2013 - 2018. Since 2019, the cumulative figure now only includes initial grants of leave following individuals’ recognition as stateless. As of 2024, the total number of individuals recognised under UK’s statelessness determination procedure is 389. UNHCR further provides the number of asylum-seekers and refugees whose nationality has been recorded as ‘stateless’ as part of the asylum process. For this group there has been no formal determination that they are stateless. The number of 'stateless' asylum-seekers in the UK awaiting a decision has been revised, following decisions on their asylum claims during the year.</t>
  </si>
  <si>
    <t xml:space="preserve">The overall figures for Spain include refugee status (6%), subsidiary protection (9%), temporary protection (50%) and humanitarian reasons (35%). Source: Spanish Ministry of Inclusion, Social Security and Migration.</t>
  </si>
  <si>
    <t xml:space="preserve">Official statistics on the size of the refugee population are not available. UNHCR refugee population estimates is based on the cumulative number of recognized asylum-seekers over the past 10 years, plus the reported number of beneficiaries of Temporary Protection in the country by end-2025 (sourced from EUROSTAT).</t>
  </si>
  <si>
    <t xml:space="preserve">Ethiopia</t>
  </si>
  <si>
    <t xml:space="preserve">ETH</t>
  </si>
  <si>
    <t xml:space="preserve">The estimate for internally displaced people in Ethiopia included previously inaccessible locations in the Tigray region and the south of the country.</t>
  </si>
  <si>
    <t xml:space="preserve">During the year, 48 people had their nationality confirmed.</t>
  </si>
  <si>
    <t xml:space="preserve">Bangladesh</t>
  </si>
  <si>
    <t xml:space="preserve">BGD</t>
  </si>
  <si>
    <t xml:space="preserve">The figure reported relates to 866,457 stateless persons of Rohingya ethnicity who are also counted as refugees from Myanmar, mainly from Rakhine State. UNHCR’s statistical reporting generally follows a methodology that reports only one legal status for each person of concern. However, due to the size of the stateless Rohingya population displaced from Myanmar, UNHCR considers it important to reflect the dual status of this population group as both displaced and stateless. This approach has been used for Bangladesh since 2017.</t>
  </si>
  <si>
    <t xml:space="preserve">2021, 2024</t>
  </si>
  <si>
    <t xml:space="preserve">Figures are UNHCR estimates.</t>
  </si>
  <si>
    <t xml:space="preserve">The estimated figure of persons of concern under the statelessness mandate relates to stateless persons of Rohingya ethnicity in Rakhine State, including stateless Rohingya IDPs in Myanmar. The number of persons of undetermined nationality residing in other states or regions in Myanmar is not currently available. The number of stateless persons remaining in Rakhine State following violence in 2016 and 2017 and large scale departures to Bangladesh is based on detailed estimates for each village tract made by UNHCR, other UN agencies and NGOs in early 2018, which concluded that between 532,000 to 600,000 Rohingya remained in Rakhine State, increasing to 632,800 due to additional displacement (including an estimated 155,500 of those Rohingya who have been internally displaced).</t>
  </si>
  <si>
    <t xml:space="preserve">The figure of 18,500  in 2019 was an estimate by UNHCR with input from stateless communities. In December 2020 the Government of Kenya registered 1,670 stateless persons of Shona descent as citizens of Kenya putting an end to their statelessness situation. This brings the total estimated statelessness population down to 16,830.</t>
  </si>
  <si>
    <t xml:space="preserve">UNHCR’s global reporting standard for asylum statistics is for individual level data. To meet this standard, US Citizenship and Immigration Services (USCIS) shared the 2021 asylum data expressed in terms of individuals. Previously, USCIS provided data based on asylum “cases” and average family household size, which UNHCR used to estimate the total number of individual asylum applications before USCIS. The shift in 2021 to USCIS reporting of individuals (not cases) allows for more precise reporting, as well as more consistency across the U.S. asylum data, since the U.S. Executive Office for Immigration Review (EOIR) has already been reporting individual-level asylum statistics to UNHCR. UNHCR notes that the increase in the reported number of asylum applications filed with USCIS in 2021 primarily reflects this change in reporting modality.</t>
  </si>
  <si>
    <t xml:space="preserve">Stateless figures in Australia are sourced from the Government. They consist of figures on stateless persons held in detention and those that have been issued or are in an application process for an “Onshore Humanitarian Visa” and have self-reported to be stateless. Australia does not have a separate statelessness status determination procedure and only provides statistics on humanitarian visas. Due to this, the figure reported here does not capture all stateless persons in Australia and is not an estimate of statelessness in Australia. Figures for stateless persons in detention come from the Australian Government Department of Home Affairs and Australian Border Force report on Immigration Detention and Community Statistics Summary 31 December 2025.</t>
  </si>
  <si>
    <t xml:space="preserve">Since 2022, the total figure of refugees from Ukraine in Germany has included individuals who arrived from Ukraine since 24 February 2022 but who were still waiting a decision regarding their Temporary Protection application as well as those who had not yet formally applied for temporary protection or refugee status. The reason to include them was linked to the high number of arrivals of persons fleeing Ukraine into Germany, and the resulting prolonged waiting periods to process applications. Given that the number of applications has decreased over time as well as changes in the national legal framework, UNHCR considers that it is no longer reasonable to continue including these individuals in the figures of total refugees present in the country.</t>
  </si>
  <si>
    <t xml:space="preserve">The refugee population in Jordan includes 8,900 Iraqis registered with UNHCR. The Government of Jordan estimated the number of Iraqis at 400,000 individuals at the end of March 2015. This includes refugees and other categories of Iraqis.</t>
  </si>
  <si>
    <t xml:space="preserve">The numbers reported in Ukraine are an extrapolation of the 2001 census figure of persons who self-declared as not having a nationality. It includes 6,047 persons who are registered as stateless by the Ministry of the Interior of Ukraine.</t>
  </si>
  <si>
    <t xml:space="preserve">With regards to stateless statistics, the figures include: (a) the number of stateless asylum seekers at end-year reported by the Danish authorities; (b) the number of stateless refugees at year-end with valid residence permit as of 1 January 2024 and increases (e.g. recognitions) or decreases (e.g. refugee status cessation) through the year as reported by Danish authorities; and (c) the number of non-displaced stateless persons (those with other non-protection related types of permits) based on data from Statistics Denmark corresponding to the resident population recorded as "Stateless" as of 1 January 2025, deducting the estimated number of stateless refugees at year-end.</t>
  </si>
  <si>
    <t xml:space="preserve">The United States of America has not adopted a formal status determination procedure to identify stateless persons, and there is no official government data-tracking of the stateless population in the USA. As such, while the USA has a stateless population, the actual number is unknown.</t>
  </si>
  <si>
    <t xml:space="preserve">Slovakia</t>
  </si>
  <si>
    <t xml:space="preserve">SVK</t>
  </si>
  <si>
    <t xml:space="preserve">A previous estimate of persons of undetermined nationality was removed, as more comprehensive dissagregation of country of origin information of populations from the 2021 census became available.</t>
  </si>
  <si>
    <t xml:space="preserve">Estonia</t>
  </si>
  <si>
    <t xml:space="preserve">EST</t>
  </si>
  <si>
    <t xml:space="preserve">Almost all people recorded as being stateless have permanent residence and enjoy more rights than foreseen in the 1954 Convention relating to the Status of Stateless Persons.</t>
  </si>
  <si>
    <t xml:space="preserve">128 persons were naturalized or granted citizenship in 2021. The data on number of staleless persons as of 31 December 2021 is provided by the Government.</t>
  </si>
  <si>
    <t xml:space="preserve">Authorities in Uzbekistan confirmed that the number of stateless persons with permanent residence has decreased to 16,000 by November 2025. The figures will be reviewed once official data becomes available. Information on categories of statelessness, other than stateless persons with permanent residence is unavailable.</t>
  </si>
  <si>
    <t xml:space="preserve">This figure presents an estimate of persons with undetermined nationality/at risk of statelessness, based on joint outreach mission conducted by the Government of Uganda and UNHCR in September/October 2021, that aimed to provide estimate numbers through self-identification of communities not recognized under the Third Schedule of the 1995 Constitution.</t>
  </si>
  <si>
    <t xml:space="preserve">The figures reported reflects stateless persons of Rohingya ethnicity who are also counted as refugees from Myanmar, mainly from Rakhine State. UNHCR’s statistical reporting generally follows a methodology that reports only one legal status for each person of concern. However, due to the size of the stateless Rohingya population displaced from Myanmar, UNHCR considers it important to reflect the dual status of this population group as both displaced and stateless. The figure reflected does not represent an estimation of the entire stateless population.</t>
  </si>
  <si>
    <t xml:space="preserve">According to some reports many stateless persons have been naturalized since 2011, but no official figures are yet confirmed.</t>
  </si>
  <si>
    <t xml:space="preserve">The National Victims Registry of Colombia contains the historical accumulated figure of the number of victims of displacement which continues to increase, given that victims continue to be registered in the country. Thus, the total number of persons recognized as victims of displacement (more than 8.4 million), includes the number of IDPs who are subject to attention and/or reparation, i.e. those who meet the requirements to access the measures of attention and reparation established in Colombian Law 1448 (6.8 million). The number of victims of displacement who are deceased, direct victims of forced disappearance and homicide, and other victims who, for various reasons, cannot effectively access these measures, are identified as not being subject to attention or reparation and therefore not included in the figure of 6.8 million. The figure is constantly updated, considering that by legal definition, victims have up to two years to make their declaration and be included in the registry system. See the summary: https://www.unidadvictimas.gov.co/es/registro-unico-de-victimas-ruv/37394.</t>
  </si>
  <si>
    <t xml:space="preserve">With regards to stateless statistics, the figures include: (a) the number of stateless asylum seekers at end-year as reported by the Icelandic authorities; (b) the number of stateless refugees at year-end with valid residence permits on the basis of international protection as reported by Icelandic authorities; and (c) the number of non-displaced stateless persons (those with other non-protection related types of permits) based on data from Statistics Iceland corresponding to the resident population recorded as "Stateless" as of 1 January 2024 (no available data for end-2024 yet), deducting the reported number of stateless refugees at year-end.</t>
  </si>
  <si>
    <t xml:space="preserve">Lithuania</t>
  </si>
  <si>
    <t xml:space="preserve">LTU</t>
  </si>
  <si>
    <t xml:space="preserve">Data for refugees and stateless people is as of end-2020.  Data for asylum-seekers is sourced from the monthly statistics published on the Government website: https://migracija.lrv.lt/lt/statistika/prieglobscio-skyriaus-statistika/statistika-1/2021-metai</t>
  </si>
  <si>
    <t xml:space="preserve">The number of refugees is based on the data on refugees, as provided by the government. The overall figures for Spain include refugee status (7%), subsidiary protection (8%), temporary protection (50%) and humanitarian reasons (35%). Source: Spanish Ministry of Inclusion, Social Security and Migration.</t>
  </si>
  <si>
    <t xml:space="preserve">With regards to refugee statistics, since 2024 the number of refugees in Sweden are based on data reported by authorities of persons with valid residence permits issued on the basis of international protection. The figures replace previous refugee stock estimations conducted by UNHCR.</t>
  </si>
  <si>
    <t xml:space="preserve">Stateless figures in Australia are sourced from the Government. They consist of figures on stateless persons held in detention and those that have been issued or are in an application process for an “Onshore Humanitarian Visa” and have self-reported to be stateless. Australia does not have a separate statelessness status determination procedure and only provides statistics on humanitarian visas. Due to this, the figure reported here does not capture all stateless persons in Australia and is not an estimate of statelessness in Australia. Figures for stateless persons in detention come from the Australian Government Department of Home Affairs and Australian Border Force report on Immigration Detention and Community Statistics Summary 31 December 2024. As updated data for some stateless populations were not yet available, some of the figures only reflect information received until mid-2024.</t>
  </si>
  <si>
    <t xml:space="preserve">With regards to stateless statistics, the figure is an estimate based on previous NGO analysis of government data and may not represent the full magnitude of statelessness in Slovenia.</t>
  </si>
  <si>
    <t xml:space="preserve">No official data on the actual number of refugees residing in Bulgaria is available. According to estimates, between 1,000 and 2,000 refugees and humanitarian status holders remain in the country. It is expected that the 2021 National Census, which will include for the first-time refugee and stateless populations, will provide more accurate data by end of 2022.</t>
  </si>
  <si>
    <t xml:space="preserve">The National Victims Registry of Colombia contains the historical accumulated figure of the number of victims of displacement, which continues to increase given that victims continue to be registered in the country. Thus, the total number of people recognized as victims of displacement (more than 8.2 million), includes the number of IDPs who are subject to attention and/or reparation, i.e. those who meet the requirements to access the measures of attention and reparation established in Colombian Law 1448 (6.8 million). The number of victims of displacement who are deceased, or IDPs who were victims of homicide or forced disappearance, and other victims who, for various reasons, cannot effectively access these measures, are identified as not being subject to attention or reparation and therefore not included in the figure of 6.8 million. The figure is constantly updated, considering that by legal definition, victims have up to two years to make their declaration and be included in the registry system. See the summary: https://www.unidadvictimas.gov.co/es/registro-unico-de-victimas-ruv/37394.</t>
  </si>
  <si>
    <t xml:space="preserve">There is no official data on statelessness in Poland. The reported figure refers to the number of stateless persons holding a personal identification number issued by the Government, which does not cover all stateless people in the country. The figure additionally includes stateless asylum-seekers and refugees (incl. benificiaries of temporary protection) in Poland.</t>
  </si>
  <si>
    <t xml:space="preserve">Official statistics on the size of the refugee population are not available. UNHCR refugee population estimates is based on the cumulative number of recognized asylum-seekers over the past 10 years, plus the reported number of beneficiaries of Temporary Protection in the country by end-2025.</t>
  </si>
  <si>
    <t xml:space="preserve">New asylum applications were not received in 2021 while Refugee Reception Offices were closed due to the declaration of a national state of disaster (COVID-19 health pandemic).</t>
  </si>
  <si>
    <t xml:space="preserve">This newly reported figure is a preliminary estimate of persons of undetermined nationality by UNHCR. The estimate is based on the UNHCR 2018 statelessness study which documents specific profiles of groups at risk of statelessness in South Sudan.</t>
  </si>
  <si>
    <t xml:space="preserve">From the Islamic Republic of Iran, almost a quarter of a million Afghans were estimated to have returned to their country in 2024. Refugee returns are expected to increase in 2025, following the announcement by the Government of the Islamic Republic of Iran in February 2025 that headcount slips will not be extended beyond 20 March 2025. See https://data.unhcr.org/en/documents/details/115667.</t>
  </si>
  <si>
    <t xml:space="preserve">This figure presents an estimate of persons with undetermined nationality/at risk of statelessness, based on a survey conducted by the Directorate General of Immigration and Emigration (DGIE) in 2010, which found approximately 9,500 persons to be at risk of statelessness. The 2023 population and housing census, led to the identification of areas where populations reside who are stateless or at the risk thereof. Efforts are underway to conduct targeted surveys that will provide an updated and reliable statistics.</t>
  </si>
  <si>
    <t xml:space="preserve">With respect to persons under UNHCR’s statelessness mandate, this figure includes persons of concern covered by two separate Latvian laws. 160 persons fall under the Republic of Latvia’s Law on Stateless Persons on 17 February 2004. 187,404 of the persons fall under Latvia’s 25 April 1995 Law on the Status of those Former USSR Citizens who are not Citizens of Latvia or Any Other State (“Non-citizens”). In the specific context of Latvia, the “Non-citizens” enjoy the right to reside in Latvia ex lege and a set of rights and obligations generally beyond the rights prescribed by the 1954 Convention relating to the Status of Stateless Persons, including protection from removal, and as such the “Non-citizens” may currently be considered persons to whom the Convention does not apply in accordance with Article 1.2(ii).</t>
  </si>
  <si>
    <t xml:space="preserve">The figure includes 63 stateless persons who held permits to stay in Slovakia according to 2011 census. No updated data on the number of stateless persons was available at the time of reporting.</t>
  </si>
  <si>
    <t xml:space="preserve">The figure is based on an estimate of 18,500 in 2019 by UNHCR with input from stateless communities of whom 1,670 stateless persons of Shona descent were granted Kenyan citizenship in 2020. In 2023, approximately 7,000 individuals from the Pemba community had their nationality confirmed. An official government report on the Pemba registration exercise is yet to be released and statistics will be updated accordingly. As of end-2024, the figure of 9,800 stateless persons in Kenya remains an estimate.</t>
  </si>
  <si>
    <t xml:space="preserve">Based on the information reported in the media as well as UNHCR protection monitoring activities, UNHCR estimates there to be 65,500 people of various origins in Kazakhstan who may be in need of international protection.</t>
  </si>
  <si>
    <t xml:space="preserve">The number of reported stateless people reflects only those individually known to UNHCR and partners. It does not include an estimate of all stateless people in the country.</t>
  </si>
  <si>
    <t xml:space="preserve">The data are generally provided by governments, based on their own definitions and methods of data collection.</t>
  </si>
  <si>
    <t xml:space="preserve">With regards to stateless statistics, the figures include: (a) the number of stateless asylum seekers at end-year reported by the Finnish authorities; (b) the number of stateless refugees at year-end based on UNHCR's estimation of refugees in Finland (recognized asylum-seekers over that past 10-years); and (c) the number of non-displaced stateless persons (those with other non-protection related types of permits) based on data from Statistics Finland corresponding to the resident population recorded as "Stateless" as of 31 December 2023 (no available data for end-2024 yet), deducting the estimated number of stateless refugees.</t>
  </si>
  <si>
    <t xml:space="preserve">With regards to stateless statistics, the figure is based on results from the 2021 Population Census.</t>
  </si>
  <si>
    <t xml:space="preserve">Namibia</t>
  </si>
  <si>
    <t xml:space="preserve">NAM</t>
  </si>
  <si>
    <t xml:space="preserve">The figure of 14,796 is based on data provided by the Namibian government's Director: National Population Register, Identification and Production in 2024. This comprises individuals who identified as stateless or individuals without proof of nationality in a government survey. A further assessment of this population is planned.</t>
  </si>
  <si>
    <t xml:space="preserve">In November 2017, jointly with the MoI and the MLSW, UNHCR carried out a field verification of all ex-Yugoslav refugees with unresolved status issues, including those at potential risk of statelessness. The field exercise covered 2,318 individuals (including 42% children) in 20 out of 23 municipalities. Based on the verification results, UNHCR reported on at least 145 persons at risk of statelessness and 460 in a statelessness like situation. During 2020 their number decreased to 118 and 349 respectively.</t>
  </si>
  <si>
    <t xml:space="preserve">Cuba</t>
  </si>
  <si>
    <t xml:space="preserve">CUB</t>
  </si>
  <si>
    <t xml:space="preserve">The number of reported stateless people reflects only those registered with (i.e. as refugees), or otherwise individually known to, UNHCR. It does not include an estimate of all stateless people in the country.</t>
  </si>
  <si>
    <t xml:space="preserve">The numbers reported in Ukraine are an extrapolation of the 2001 census figure of persons who self-declared as not having a nationality. It includes 5,700 persons who are registered as stateless by the Ministry of the Interior of Ukraine.</t>
  </si>
  <si>
    <t xml:space="preserve">With regards to stateless statistics, the reduction in reported statelessness figures for 2024 relates to a review of the methodology and use of available up to date data sources. The actual scale of statelessness is, however, undetermined and likely higher owing to the ongoing war, temporary occupation and large-scale forced displacement.</t>
  </si>
  <si>
    <t xml:space="preserve">The total statelessness figure reported relates to 641 stateless persons of Rohingya ethnicity who are also counted as refugees or asylum-seekers from Myanmar, mainly from Rakhine State. There are also indications that a potentially sizable population of non-displaced stateless persons exists for whom no data is available.</t>
  </si>
  <si>
    <t xml:space="preserve">Using 2023 census data, the stateless population has been estimated for the first time.</t>
  </si>
  <si>
    <t xml:space="preserve">No estimates of the entire stateless population in the Islamic Rep. of Iran is available.</t>
  </si>
  <si>
    <t xml:space="preserve">Rep. of Moldova</t>
  </si>
  <si>
    <t xml:space="preserve">MDA</t>
  </si>
  <si>
    <t xml:space="preserve">The figure includes persons determined to be stateless following the statelessness determination procedure and persons with undetermined nationality who hold expired Soviet passports.</t>
  </si>
  <si>
    <t xml:space="preserve">With regards to refugee statistics, the number of refugees by end 2024 correspond to data on individuals holding active residence permits under refugee status or temporary protection as of December 2024, replacing previous refugee stock estimations conducted by UNHCR.</t>
  </si>
  <si>
    <t xml:space="preserve">The figures for stateless individuals in Spain represent the 10,098 individuals recognized through the Spanish statelessness determination procedure, as well as 51 stateless refugees and 15 stateless asylum-seekers. Source: Permanent Observatory on Immigration, Spanish Ministry of Inclusion, Social Security and Migration.</t>
  </si>
  <si>
    <t xml:space="preserve">The increase in the refugee population from Myanmar reflects the biometric enrolment of refugees who had arrived during the last 24 months and, to a smaller extent, children born to already registered refugees.</t>
  </si>
  <si>
    <t xml:space="preserve">At end-2025, 1 million Afghans were, for the first time, reported as other people in need of international protection in five countries. Previously, these Afghans had been reported as people in a refugee-like situation. The reclassification includes some 879,500 people in the Islamic Republic of Iran who are Movaqat holders, family passport holders or former headcount slip holders and an estimated population of undocumented Afghans.</t>
  </si>
  <si>
    <t xml:space="preserve">Monaco</t>
  </si>
  <si>
    <t xml:space="preserve">MCO</t>
  </si>
  <si>
    <t xml:space="preserve">Data is as of end-2019.</t>
  </si>
  <si>
    <t xml:space="preserve">With regards to refugee statistics, official statistics on the size of the refugee population are not available. UNHCR refugee population estimates are based on the cumulative number of recognized asylum-seekers over the past 10 years, plus the reported number of beneficiaries of Temporary Protection in the country by end-2024.</t>
  </si>
  <si>
    <t xml:space="preserve">The estimated figure of persons of concern under the statelessness mandate relates to stateless persons of Rohingya ethnicity in Rakhine State, including stateless Rohingya IDPs in Myanmar. The number of persons of undetermined nationality residing in other states or regions in Myanmar is not currently available. The number of stateless persons remaining in Rakhine State following violence in 2016 and 2017 and large scale departures to Bangladesh is based on detailed estimates for each village tract made by UNHCR, other UN agencies and NGOs in early 2018, which concluded that between 532,000 to 600,000 Rohingya remained in Rakhine State, increasing to 630,000 due to additional displacement in 2022 (including an estimated 156,600 of those Rohingya who have been internally displaced).</t>
  </si>
  <si>
    <t xml:space="preserve">The increase in the number of refugees and asylum-seekers in Libya is due to the arrival in 2025 of people from Sudan. 550,000 Sudanese are reported as people in a refugee-like situation based on estimates derived from the the issuance of health cards in areas outside of Tripoli.</t>
  </si>
  <si>
    <t xml:space="preserve">The figure is based on an estimate of ethnic Vietnamese persons whose legal identity documents were withdrawn and whose nationality is undetermined.</t>
  </si>
  <si>
    <t xml:space="preserve">Stateless refugees from Myanmar of Rohingya ethnicity in Iran have been resettled in 2023. No estimates of the entire stateless population in the Islamic Rep. of Iran is available.</t>
  </si>
  <si>
    <t xml:space="preserve">The methodology for estimating the number of refugees in Australia is under review and subject to adjustment in future reports.</t>
  </si>
  <si>
    <t xml:space="preserve">Brazil reported 95,800 people in a refugee-like situation, primarily Haitian nationals (87,400), who have been granted a humanitarian residency permit.</t>
  </si>
  <si>
    <t xml:space="preserve">With regards to refugee statistics, official statistics on the size of the refugee population are not available. UNHCR refugee population estimates are based on the cumulative number of recognized asylum-seekers over the past 10 years, plus the reported number of beneficiaries of Temporary Protection in the country by end-2025.</t>
  </si>
  <si>
    <t xml:space="preserve">The total statelessness figure reported relates to 2,642 stateless persons who are also counted as refugees or asylum-seekers. There are indications that a potentially sizable population of non-displaced stateless persons exists for whom no data is available.</t>
  </si>
  <si>
    <t xml:space="preserve">Figure from the 2011 census. It includes 21 persons registered as stateless by the Government of Croatia.</t>
  </si>
  <si>
    <t xml:space="preserve">In the absence of official data, the figure reported refers to stateless persons and persons with undetermined nationality identified by UNHCR partner organizations in Turkmenistan. The increase in the reported figure is due to the identification of new persons in stateless situations.</t>
  </si>
  <si>
    <t xml:space="preserve">From various sources such as civil status offices, health institutions, schools, municipal child protection units, and social services, UNHCR estimates the number of people with undetermined nationality (at risk of statelessness) in Albania.</t>
  </si>
  <si>
    <t xml:space="preserve">According to the results of the 2020 All-Russia Census finalized at end 2022, some 91,173 persons declared themselves stateless of whom 2,988 persons obtained Russian citizenship in 2023.</t>
  </si>
  <si>
    <t xml:space="preserve">The number of refugees will be re-estimated based on the data received from from the government as of start 2022.</t>
  </si>
  <si>
    <t xml:space="preserve">UNHCR uses the number 90,000 to refer to the ‘most vulnerable refugees’ recognizing that assistance figures may need to be calculated differently. Based on an interagency study conducted in 2018, the Inter Sector Working Group, like the host Government, estimates that 173,600 people live in the camps. UN agencies use different points of reference for the population living in the camps. For the purposes of the SRRP, the higher 173,600 number will be used as a planning figure to ensure humanitarian assistance is comprehensive. See https://algeria.un.org/sites/default/files/2024-01/SRRP%20-%20English.pdf.</t>
  </si>
  <si>
    <t xml:space="preserve">The total number of refugees by end-2025 is an estimation based on the data on recognized refugees by end-2024, adding the recognitions during 2025 and deducting the recognitions during 2015, to which the total number of temporary protection status holders by end-year was added.</t>
  </si>
  <si>
    <t xml:space="preserve">The number of other people in need of international protection is estimated from the Regional Refugee and Migrant Response Plan.</t>
  </si>
  <si>
    <t xml:space="preserve">The number of refugees is based on the data on refugee and temporary protection status holders, as provided by the government.</t>
  </si>
  <si>
    <t xml:space="preserve">End-year stock refers to protected persons who are yet to acquire permanent resident status.</t>
  </si>
  <si>
    <t xml:space="preserve">No estimations for the non-displaced stateless population for the country are available.</t>
  </si>
  <si>
    <t xml:space="preserve">As no government figures for the refugee population in the country is available, UNHCR estimates the number of refugees by assuming that it is the sum of all asylum-seekers recognized during the last ten years on a rolling basis.</t>
  </si>
  <si>
    <t xml:space="preserve">HST</t>
  </si>
  <si>
    <t xml:space="preserve">Host community refers to a community that hosts large populations of refugees or internally displaced persons, whether in camps, integrated into households, or independently. UNHCR reports on host communities in countries with substantive programmes focusing on sharing the burden of hosting large refugee populations, as set out in the Global Compact on Refugees.</t>
  </si>
  <si>
    <t xml:space="preserve">At end-2025, 1 million Afghans were, for the first time, reported as other people in need of international protection in five countries. Previously, these Afghans had been reported as people in a refugee-like situation. The reclassification includes 41,000 undocumented Afghans in Pakistan. In Pakistan, 100,000 Afghan Citizen Card (ACC) holders are also included who were previously reported as others of concern to UNHCR and are reclassified to better reflect their international protection needs.</t>
  </si>
  <si>
    <t xml:space="preserve">2021 - 2025</t>
  </si>
  <si>
    <t xml:space="preserve">The 2014 ministerial declaration that offered Prima Facie refugee status to persons fleeing generalised violence from Central African Republic from January 2013 onwards is no longer applicable. As such, all refugees are assessed on an individual basis by the National Commission for Refugees.</t>
  </si>
  <si>
    <t xml:space="preserve">Figure based on the 2011 census. Census figures were adjusted to include people registered as stateless by the Ministry of Interior from 2012 to 2020.</t>
  </si>
  <si>
    <t xml:space="preserve">Ireland does not have a Statelessness Determination Procedure. Due to the lack of reliable data on potential cases of statelessness, the extent of statelessness in Ireland cannot be identified accurately. Therefore, the only data about stateless persons included is data pertaining to stateless refugees and stateless asylum seekers at year-end as reported by Irish authorities.</t>
  </si>
  <si>
    <t xml:space="preserve">Stateless figures in Australia are sourced from the Government. They consist of figures on stateless persons held in detention and those that have been issued or are in an application process for an “Onshore Humanitarian Visa” and have self-reported to be stateless. Australia does not have a separate statelessness status determination procedure and only provides statistics on humanitarian visas. Due to this, the figure reported here does not capture all stateless persons in Australia and is not an estimate of statelessness in Australia. Figures for stateless persons in detention come from the Australian Government Department of Home Affairs and Australian Border Force report on Immigration Detention and Community Statistics Summary 31 January 2022.</t>
  </si>
  <si>
    <t xml:space="preserve">In discussion with the national governments of the Philippines and Indonesia, it was concluded that remaining cases concerning persons of undetermined nationality of Indonesian descent, could be closed . The total statelessness figure reported also includes 10 stateless persons of Rohingya ethnicity who are also counted as refugee or asylum-seeker from Myanmar, mainly from Rakhine State.</t>
  </si>
  <si>
    <t xml:space="preserve">With respect to persons under UNHCR’s statelessness mandate, this figure includes persons of concern covered by two separate Latvian laws. 164 persons fall under the Republic of Latvia’s Law on Stateless Persons on 17 February 2004. 195,190 of the persons fall under Latvia’s 25 April 1995 Law on the Status of those Former USSR Citizens who are not Citizens of Latvia or Any Other State (“Non-citizens”). In the specific context of Latvia, the “Non-citizens” enjoy the right to reside in Latvia ex lege and a set of rights and obligations generally beyond the rights prescribed by the 1954 Convention relating to the Status of Stateless Persons, including protection from removal, and as such the “Non-citizens” may currently be considered persons to whom the Convention does not apply in accordance with Article 1.2(ii).</t>
  </si>
  <si>
    <t xml:space="preserve">In November 2017, jointly with the Ministry of the Interior of Montenegro (MoI) and the Ministry of Labor and Social Welfare, UNHCR carried out a field verification of all ex-Yugoslav refugees with unresolved legal status and persons at risk of statelessness, known to UNHCR at that time. The field exercise covered 2,318 individuals (including 42% children) in 20 out of 23 municipalities of Montenegro. Based on the verification results, in 2018 UNHCR reported at least 605 persons at risk of statelessness (145 at risk of statelessness and 460 in a statelessness like situation). In 2024, the number decreased by 60. However, an additional 67 persons at risk of statelessness were later identified, bringing the total to 413 persons at risk of statelessness by the end of 2024. In 2018, Montenegro introduced a formal statelessness determination procedure. By the end of December 2024, 10 persons had been officially recognized as stateless persons through this procedure.</t>
  </si>
  <si>
    <t xml:space="preserve">The estimated figure of persons of concern under the statelessness mandate relates to stateless persons of Rohingya ethnicity in Rakhine State and also includes stateless IDPs in Myanmar. The number of persons of undetermined nationality residing in other states or regions in Myanmar is not currently available. The number of stateless persons remaining in Rakhine State following violence in 2016 and 2017 and large scale departures to Bangladesh is based on detailed estimates for each village tract made by UNHCR, other UN agencies and NGOs in early 2018, which concluded that between 532,000 to 600,000 Rohingya remained in Rakhine State (including an estimated 140,886 of those Rohingya who have been internally displaced). For the purposes of this report, the higher range of this estimate has been used.</t>
  </si>
  <si>
    <t xml:space="preserve">No official data on the actual number of refugees residing in Bulgaria is available. The estimate includes 68,300 Ukrainians who received temporary protection, and 29,400 other refugees.</t>
  </si>
  <si>
    <t xml:space="preserve">The figure is reported by the Government.</t>
  </si>
  <si>
    <t xml:space="preserve">The updated figure is based on improved information concerning persons of Indonesian descent who have acquired nationality. The total statelessness figure reported also includes 1 stateless person of Rohingya ethnicity who is also counted as refugee or asylum-seeker from Myanmar, mainly from Rakhine State. UNHCR’s statistical reporting generally follows a methodology that reports only one legal status for each person of concern. However, due to the size of the stateless Rohingya population displaced from Myanmar, UNHCR considers it important to reflect the dual status of this population group as both displaced and stateless. This approach is being used for the Philippines for the first time in 2020.</t>
  </si>
  <si>
    <t xml:space="preserve">59 persons were naturalized or granted citizenship in 2023. Since December 2021 the data on number of staleless persons is provided by the Government.</t>
  </si>
  <si>
    <t xml:space="preserve">Figure refers to a population of undetermined nationality.</t>
  </si>
  <si>
    <t xml:space="preserve">Naturalization figures refer to the admission of protected persons as permanent residents of Canada. End-year stock refers to protected persons who are yet to acquire permanent resident status. The statistics on asylum-seekers (new applications, re-opened/repeat applications and/or appeal application) and refugees individually recognized in Canada include persons who had their claim assessed before the Refugee Protection Division and the Refugee Appeal Division of the Immigration Refugee Board as well as by the Department of Immigration, Refugees and Citizenship Canada through a Pre-Removal Risk Assessment. Updated figures for the number of Ukrainians within the Canada-Ukraine authorization for emergency travel (CUAET) program have been reflected in the reported figure for people in a refugee-like situation.</t>
  </si>
  <si>
    <t xml:space="preserve">The figures include an estimated 141,000 stateless IDPs who are also of concern under the statelessness mandate.</t>
  </si>
  <si>
    <t xml:space="preserve">With regards to stateless statistics, the figure includes persons determined to be stateless following the statelessness determination procedure and persons with undetermined nationality who hold expired Soviet passports.</t>
  </si>
  <si>
    <t xml:space="preserve">Based on reports from international organizations, UNHCR estimates that there are approximately 3,600 Afghan nationals residing in Turkmenistan who are likely in need of international protection</t>
  </si>
  <si>
    <t xml:space="preserve">All figures are as of mid-2024 apart from statistics on resettlement arrivals and asylum-seekers.</t>
  </si>
  <si>
    <t xml:space="preserve">With regards to refugee statistics, since 2024 the number of refugees is Norway are based on data reported by authorities of persons with valid residence permits for asylum as of 1 January 2024 and increases (e.g. recognitions) or decreases (e.g. refugee status cessation and naturalisations) through the year as reported by authorities. Figures for temporary protection holders in Norway are based on data by Eurostat. The figures replace previous refugee stock estimations conducted by UNHCR.</t>
  </si>
  <si>
    <t xml:space="preserve">This figure does not include potentially stateless Bedouin or former USSR citizens who may be stateless.</t>
  </si>
  <si>
    <t xml:space="preserve">The total statelessness figure reported includes 10 stateless persons of Rohingya ethnicity who are also counted as refugee or asylum-seeker from Myanmar, mainly from Rakhine State.</t>
  </si>
  <si>
    <t xml:space="preserve">Only those asylum-seekers facing acute or imminent protection risks are registered by UNHCR. In addition, there are some 6,100 other asylum-seekers who were individually assessed, counselled and advised to inform UNHCR of any changes in their situation, which would justify a decision to register them.</t>
  </si>
  <si>
    <t xml:space="preserve">The number of refugees in Australia has been revised using updated data on the number of residence permit holders with refugee status by the end of 2023, as received from the government.</t>
  </si>
  <si>
    <t xml:space="preserve">In the South Caucasus region, 141,900 refugees fled to Armenia with most of them arriving after renewed armed conflict in Karabakh in September 2023.</t>
  </si>
  <si>
    <t xml:space="preserve">Figures are UNHCR estimates as of end-2025.</t>
  </si>
  <si>
    <t xml:space="preserve">All 18 persons were in the final stages of naturalization or citizenship confirmation formalities.</t>
  </si>
  <si>
    <t xml:space="preserve">Figure from the 2010 census.</t>
  </si>
  <si>
    <t xml:space="preserve">With regards to stateless statistics, in November 2017, jointly with the Ministry of the Interior of Montenegro (MoI) and the Ministry of Labor and Social Welfare, UNHCR carried out a field verification of all ex-Yugoslav refugees with unresolved legal status and persons at risk of statelessness, known to UNHCR at that time. The field exercise covered 2,318 individuals (including 42% children) in 20 out of 23 municipalities of Montenegro. Based on the verification results, in 2018 UNHCR reported at least 605 persons at risk of statelessness (145 at risk of statelessness and 460 in a statelessness like situation). During 2025 their number decreased to 290 by end-year. In addition. In addition, through statelessness determination procedure, introduced in Montenegro in 2018, 10 persons have been granted stateless status between 2018 and 2025.</t>
  </si>
  <si>
    <t xml:space="preserve">Stateless persons reported by UNHCR correspond to recognized stateless persons who have been granted a residence permit in Belgium and who are therefore registered in the national register. It should be noted that recognized stateless persons who have not been granted a residence permit are not taken into account in figures provided by the Belgian Government.</t>
  </si>
  <si>
    <t xml:space="preserve">The figure is based on an estimate of 18,500 in 2019 by UNHCR with input from stateless communities of whom 1,670 stateless persons of Shona descent were granted Kenyan citizenship in 2020. In 2022 approximately 7,000 individuals from the Pemba community had their nationality confirmed.</t>
  </si>
  <si>
    <t xml:space="preserve">The figure is based on the 2021 census.  See: https://www.scitanie.sk/obyvatelia/zakladne-vysledky/struktura-obyvatelstva-podla-statnej-prislusnosti/SR/SK0/SR.</t>
  </si>
  <si>
    <t xml:space="preserve">The National Victims Registry of Colombia contains the historical accumulated figure of the number of victims of displacement which continues to increase, given that victims continue to be registered in the country. Thus, the total number of persons recognized as victims of displacement (more than 8.7 million), includes the number of IDPs who are subject to attention and/or reparation, i.e. those who meet the requirements to access the measures of attention and reparation established in Colombian Law 1448 (7.1 million). The number of victims of displacement who are deceased, direct victims of forced disappearance and homicide, and other victims who, for various reasons, cannot effectively access these measures, are identified as not being subject to attention or reparation and therefore not included in the figure of 7.1 million. The figure is constantly updated, considering that by legal definition, victims have up to two years to make their declaration and be included in the registry system. See the summary: https://www.unidadvictimas.gov.co/es/registro-unico-de-victimas-ruv/.</t>
  </si>
  <si>
    <t xml:space="preserve">In situ figure based on the 2011 census. Census figures were adjusted to include people registered as stateless by the Ministry of Interior from 2012 to 2021.</t>
  </si>
  <si>
    <t xml:space="preserve">In November 2017, jointly with the MoI and the MLSW, UNHCR carried out a field verification of all ex-Yugoslav refugees with unresolved status issues, including those at potential risk of statelessness. The field exercise covered 2,318 individuals (including 42 per cent children) in 20 out of 23 municipalities. Based on the verification results, UNHCR reported on at least 145 persons at risk of statelessness and 460 in a statelessness like situation.  During 2021 their number increased to 502 as 87 persons were identified as at risk of statelessness and, through a formal statelessness determination procedure introduced in 2018, 4 more persons were recognized as stateless by the Ministry of Interior of Montenegro.  Some 61 persons acquired nationality during the year.</t>
  </si>
  <si>
    <t xml:space="preserve">The number of asylum applications includes 38,278 asylum applications not yet formalized, i.e. individuals with an appointment to complete the application procedure, as well as 11,066 applicants whose cases have been processed but have yet to receive notification of the decision on their asylum applications. The latter relate primarily to cases received prior to 2020. Until end-2020 these were reported under others of concern and have since been re-classified as asylum applications since the 2021 mid-year statistical report.</t>
  </si>
  <si>
    <t xml:space="preserve">Start-year figure comes from the 2022 census, with changes during the year reflecting updated reporting by the Ministry of the Interior.</t>
  </si>
  <si>
    <t xml:space="preserve">UNHCR is currently working with the authorities and other actors to determine the size of the population that found an effective nationality solution under Law 169-14. Since the adoption of Law 169-14 in May 2014, important steps have been taken by the Dominican Republic to confirm Dominican nationality through the validation of birth certificates of individuals born in the country to two migrant parents before 2007. According to information shared by the Dominican delegation during the 2019 High-Level Segment on Statelessness, approximately 48 per cent of the total Group A population of 61,049 persons had been authorized by the National Electoral Board (JCE) to request their nationality documentation. Additionally, as of December 2019, over 1,700 Group B persons (900 of which were children) had submitted applications for naturalization to the Ministry of Interior and of the Police (MIP). However, no naturalization decisions concerning this population had been issued by December 2025.</t>
  </si>
  <si>
    <t xml:space="preserve">With regards to refugee statistics, the number of refugees by end-2025 correspond to data on individuals holding active residence permits under refugee status or temporary protection as of December 2025.</t>
  </si>
  <si>
    <t xml:space="preserve">The figure is based on the 2021 census.  See: https://www.scitanie.sk/obyvatelia/zakladne-vysledky/struktura-obyvatelstva-podla-statnej-prislusnosti/SR/SK0/SR</t>
  </si>
  <si>
    <t xml:space="preserve">2020 - 2022, 2024 - 2025</t>
  </si>
  <si>
    <t xml:space="preserve">The statistics on asylum-seekers (new applications, re-opened/repeat applications and/or appeal application) and refugees individually recognized in Canada include persons who had their claim assessed before the Refugee Protection Division and the Refugee Appeal Division of the Immigration Refugee Board as well as by the Department of Immigration, Refugees and Citizenship Canada through a Pre-Removal Risk Assessment.</t>
  </si>
  <si>
    <t xml:space="preserve">REF,STA</t>
  </si>
  <si>
    <t xml:space="preserve">The figures for stateless individuals in Spain represent the 11,516 individuals recognized through the Spanish statelessness determination procedure, as well as 49 stateless refugees and 15 stateless asylum-seekers. Source: Permanent Observatory on Immigration, Spanish Ministry of Inclusion, Social Security and Migration.</t>
  </si>
  <si>
    <t xml:space="preserve">The statistics on asylum-seekers (new applications, re-opened/repeat applications and/or appeal application) in Canada include persons who had their claim assessed before the Refugee Protection Division and the Refugee Appeal Division of the Immigration Refugee Board as well as by the Department of Immigration, Refugees and Citizenship Canada through a Pre-Removal Risk Assessment.</t>
  </si>
  <si>
    <t xml:space="preserve">The IDP figure has been aligned to the inter-agency methodology as defined in the 2020 Humanitarian Needs Overview. Figure of others of concern relates to persons who have specific protection needs and live in non-government-controlled areas or within 20 km of the contact line in government-controlled areas.</t>
  </si>
  <si>
    <t xml:space="preserve">With regards to stateless statistics, the UK’s stateless figures show the number of stateless individuals recognised through the UK's stateless determination procedure since it began in 2013 (401 as of end-2025). UNHCR further provides the number of asylum-seekers and refugees whose nationality has been recorded as ‘stateless’ as part of the asylum process. For this group there has been no formal determination that they are stateless.</t>
  </si>
  <si>
    <t xml:space="preserve">With regards to stateless statistics, the figure includes persons determined to be stateless following the statelessness determination procedure and persons with undetermined nationality who hold expired Soviet passports. Increase in figures compared to end-2024 is due to updated data received from national authorities.</t>
  </si>
  <si>
    <t xml:space="preserve">Based on the information reported in the media as well as UNHCR protection monitoring activities, UNHCR estimates there to be 48,400 people of various origins in Kazakhstan reported as other people in need of international protection. Ukrainians continue to be  reported as people in a refugee-like situation.</t>
  </si>
  <si>
    <t xml:space="preserve">UNHCR is currently working with the authorities and other actors to determine the size of the population affected by ruling 168-13 that found an effective nationality solution. Since the adoption of Law 169-14 in May 2014, important steps have been taken by the Dominican Republic to confirm Dominican nationality through the validation of birth certificates of individuals born in the country to two migrant parents before 2007. According to information shared by the Dominican delegation during the 2019 High-Level Segment on Statelessness, approximately 48 per cent of the total Group A population of 61,049 persons had been authorized by the National Electoral Board (JCE) to request their nationality documentation. Additionally, as of December 2020, over 1,830 Group B persons (800 of which were children) – out of the 7,159 approved individuals who had applied to the regularization plan established in Law 169-14 - had submitted applications for naturalization to the Ministry of Interior and of the Police (MIP). Up until December 2020, one naturalization decree had been issued granting Dominican nationality to 749 applicants, all of whom are still pending to receive nationality documentation.</t>
  </si>
  <si>
    <t xml:space="preserve">Refugees includes people in a refugee-like situation</t>
  </si>
  <si>
    <t xml:space="preserve">Yes: Venezuela</t>
  </si>
  <si>
    <t xml:space="preserve">Stateless figures in Australia are sourced from the Government. They consist of figures on stateless persons held in detention and those that have been issued or are in an application process for an “Onshore Humanitarian Visa” and have self-reported to be stateless. Australia does not have a separate statelessness status determination procedure and only provides statistics on humanitarian visas. Due to this, the figure reported here does not capture all stateless persons in Australia and is not an estimate of statelessness in Australia. Figures for stateless persons in detention come from the Australian Government Department of Home Affairs and Australian Border Force report on Immigration Detention and Community Statistics Summary 31 December 2020.</t>
  </si>
  <si>
    <t xml:space="preserve">All figures are as of mid-2025.  Since 2023, the number of stateless persons in Azerbaijan is based on government (State Migration Service and the Ministry of Internal Affairs) and UNHCR registers.</t>
  </si>
  <si>
    <t xml:space="preserve">Figure based on a registration exercise in three regions and 842 people registered as stateless by the Ministry of Internal Affairs of Tajikistan.</t>
  </si>
  <si>
    <t xml:space="preserve">The figure is an estimate based on previous NGO analysis of government data and may not represent the full magnitude of statelessness in Slovenia.</t>
  </si>
  <si>
    <t xml:space="preserve">All figures are as of mid-2025.</t>
  </si>
  <si>
    <t xml:space="preserve">The Indo-Chinese population in China is no longer considered as refugees under UNHCR's mandate and has been removed from UNHCR's statistical reporting since June 2022, because they have full access to public services and enjoy the same rights as nationals.</t>
  </si>
  <si>
    <t xml:space="preserve">Various studies estimate that a significant number of individuals originally from Nepal lack citizenship certificates. While these individuals originally from Nepal are not all necessarily stateless, UNHCR has been working closely with the Government of Nepal and partners to address this situation. 452 stateless persons of Rohingya ethnicity who are also counted as refugees or asylum-seekers from Myanmar, mainly from Rakhine State, are reported in Nepal.</t>
  </si>
  <si>
    <t xml:space="preserve">In December 2024, 116 Rohingya that were rescued and disembarked. At an initial interview with UNHCR soon after disembarkation they stated that they departed to Sri Lanka to seek asylum. Given the intention and considering the situation of Rohingya in Myanmar, UNHCR has included them as asylum-seekers. UNHCR has not been able to conduct a formal registration process as UNHCR does not have access to them while they remain in detention.</t>
  </si>
  <si>
    <t xml:space="preserve">Since 2024, the number of refugees in Denmark are based on data reported by authorities of persons with valid residence permits for asylum provided by Statistics Denmark as well as temporary protection holders provided by the Danish Immigration Service.</t>
  </si>
  <si>
    <t xml:space="preserve">The statelessness figure refers to a census from 2011 and has been adjusted to reflect the number of persons with undetermined nationality who had their nationality confirmed in 2011- 2020.</t>
  </si>
  <si>
    <t xml:space="preserve">The total statelessness figure reported relates to 2,638 stateless persons who are also counted as refugees or asylum-seekers. There are indications that a potentially sizable population of non-displaced stateless persons exists for whom no data is available.</t>
  </si>
  <si>
    <t xml:space="preserve">68 persons were naturalized or granted citizenship in 2022. Since December 2021 the data on number of staleless persons is provided by the Government.</t>
  </si>
  <si>
    <t xml:space="preserve">In the absence of official data, the figure reported refers to stateless persons and persons with undetermined nationality identified by UNHCR partner organizations in Turkmenistan. The decrease in the reporting figure is due to naturalization in Turkmenistan and confirmation of nationality by a third country.</t>
  </si>
  <si>
    <t xml:space="preserve">Small values between zero and five have been rounded to multiples of five. Data on asylum applications and decisions has additionally been rounded for small values between five and 10. Demographic data has been additionally modified so that the data remains additive.</t>
  </si>
  <si>
    <t xml:space="preserve">The decrease in the stateless population in Sweden between 2022 and 2023 is due to de-duplication of figures reported in previous years.</t>
  </si>
  <si>
    <t xml:space="preserve">UNHCR is currently working with the authorities and other actors to determine the size of the population affected by ruling 168-13 that found an effective nationality solution. Since the adoption of Law 169-14 in May 2014, steps have been taken by the Dominican Republic to confirm Dominican nationality through the validation of birth certificates of individuals born in the country to two migrant parents before 2007. According to information shared by the Central Electoral Board (JCE) in 2022, out of the total Group A population of 61,206 persons, approximately 26,200 had obtained their Dominican nationality documentation. Additionally, as of December 2020, over 1,830 persons (800 of which were children) – out of the 7,159 approved individuals who had applied to the regularization plan established in Law 169-14 (Group B)- had submitted applications for naturalization to the Ministry of Interior and of the Police (MIP). Up until December 2023, two naturalization decrees had been issued granting Dominican nationality to 799 applicants, all of whom are still pending to receive nationality documentation.</t>
  </si>
  <si>
    <t xml:space="preserve">The decrease in the stateless population in Finland between 2022 and 2023 is due to de-duplication of figures reported in previous years.</t>
  </si>
  <si>
    <t xml:space="preserve">The number of refugees was rebased using updated data on the number of residence permit holder with refugee status and temporary protection holders by the end of 2023, available from Eurostat.</t>
  </si>
  <si>
    <t xml:space="preserve">The total statelessness figure reported relates to 21,591 stateless persons of Rohingya ethnicity who are also counted as refugees or asylum-seekers from Myanmar, mainly from Rakhine State. The reported figure does not represent an estimate of the entire stateless population.</t>
  </si>
  <si>
    <t xml:space="preserve">The UK’s stateless figures show the number of stateless individuals recognised through the UK's stateless determination procedure since it began in 2013. In previous years, this figure has been calculated by adding all grants of stateless leave. This resulted in unavoidable double counting for stateless individuals who were applying for further statelessness leave after the expiry of their initial grant of leave. The UK Government has now provided data for initial and subsequent grants. The subsequent grants have therefore been removed from the previous cumulative figure between 2013 - 2018. Since 2019, the cumulative figure now only includes initial grants of leave following individuals’ recognition as stateless. At the end of 2022, the total number of individuals recognised under UK’s statelessness determination procedure is 319. UNHCR further provides the number of asylum-seekers and refugees whose nationality has been recorded as ‘stateless’ as part of the asylum process. For this group there has been no formal determination that they are stateless.</t>
  </si>
  <si>
    <t xml:space="preserve">In October 2024, the Government of Turkmenistan announced the resolution of all known cases of statelessness in the country, following the naturalization of a final group of 1,146 stateless people in September 2024. In February 2025, the Government reported that, as of 31 December 2024, there were no remaining stateless people in Turkmenistan. Since 2017, UNHCR has relied on figures reported by its partner organizations, as official statistical data was not made available by the authorities. In 2023, UNHCR partners launched a verification exercise to cross-check their database on stateless persons and those with undetermined nationality. This process continued in 2024 and confirmed the Government’s report. As part of the exercise, individuals were contacted to verify their current legal status. The findings showed that many had been naturalized in recent years, some had confirmed foreign nationality, and others had passed away. This verification exercise, combined with the official information provided by the Government, confirms that there are now zero officially registered stateless people in Turkmenistan.</t>
  </si>
  <si>
    <t xml:space="preserve">In 2022, Nicaraguans and Venezuelans (only October to December) started their applications by obtaining an appointment to formalize their asylum claim. The appointment process for Nicaraguans and Venezuelans ended in December 2022.</t>
  </si>
  <si>
    <t xml:space="preserve">In Pakistan, the verification of the number of new arrivals from Afghanistan concluded in 2024. Due to the inactivation of substantive numbers of absentees, this resulted in an overall reduction of 190,200 Afghans reported in the country and an increase of 108,300 Afghans being registered as asylum-seekers. At the same time, 143,900 formerly unregistered family members of registered refugees, that were previously reported as people in a refugee-like situation, are now included as refugees, in line with the upcoming 2025-2027 multi-year strategy for Afghans.</t>
  </si>
  <si>
    <t xml:space="preserve">The figure is based on an estimate of 18,500 in 2019 by UNHCR with input from stateless communities of whom 1,670 stateless persons of Shona descent were granted Kenyan citizenship in 2020. In 2023, approximately 7,000 individuals from the Pemba community had their nationality confirmed. An official government report on the Pemba registration exercise is yet to be released and statistics will be updated accordingly. As of 2025, the figure of 9,800 stateless persons in Kenya remains an estimate.</t>
  </si>
  <si>
    <t xml:space="preserve">All statistics reported by the United States of America apart from resettlement arrivals are as of mid-2024. Hence, the data of new applications and decisions only include the period between January and June 2024, and the number of pending applications is as of 30 June 2024. The full year statistics for each of these are likely to be higher.</t>
  </si>
  <si>
    <t xml:space="preserve">The United States of America has also offered temporary status in certain circumstances to people in need of international protection. For example, in 2022, a significant number of Ukrainians and their immediate family members were given temporary protection on a humanitarian basis in the United States. UNHCR is in discussions with the U.S. government about how to best reflect such datapoints for all relevant populations in future reporting cycles.</t>
  </si>
  <si>
    <t xml:space="preserve">There is no official data on statelessness in Poland. The reported figure refers to the number of stateless persons holding a personal identification number issued by the Government, which does not cover all stateless people in the country.</t>
  </si>
  <si>
    <t xml:space="preserve">In situ figure based on the 2011 census.</t>
  </si>
  <si>
    <t xml:space="preserve">Figure from the 2022 census.</t>
  </si>
  <si>
    <t xml:space="preserve">The refugee population in Jordan includes 31,000 Iraqis registered with UNHCR. The Government of Jordan estimated the number of Iraqis at 400,000 individuals at the end of March 2015. This includes refugees and other categories of Iraqis.</t>
  </si>
  <si>
    <t xml:space="preserve">Naturalization figures refer to the admission of protected persons as permanent residents of Canada. End-year stock refers to protected persons who are yet to acquire permanent resident status. The statistics on refugees individually recognized in Canada include persons who had their claim assessed before the Refugee Protection Division and the Refugee Appeal Division of the Immigration Refugee Board as well as by the Department of Immigration, Refugees and Citizenship Canada through a Pre-Removal Risk Assessment.</t>
  </si>
  <si>
    <t xml:space="preserve">Data for the number of refugees is as of mid-2022.</t>
  </si>
  <si>
    <t xml:space="preserve">The total stateless population in Malaysia includes 9,040 non-displaced stateless persons who may be entitled to Malaysian nationality under the law. This number of non-displaced stateless persons is based on a registration and community legal assistance programme undertaken in West Malaysia by a local NGO with technical support from UNHCR. The total statelessness figure reported also includes 103,380 stateless persons of Rohingya ethnicity who are also counted as refugees or asylum-seekers from Myanmar, mainly from Rakhine State.</t>
  </si>
  <si>
    <t xml:space="preserve">With regards to stateless statistics, the figures include:  (a) the number of stateless asylum seekers at year-end as reported by the Icelandic authorities; (b) the number of stateless refugees at year-end with valid residence permits on the basis of international protection as reported by Icelandic authorities; and (c) the number of non-displaced stateless persons (those with other non-protection related types of permits) based on data from Statistics Iceland corresponding to the resident population recorded as "Stateless" as of 1 January 2025 (no data is available yet for end-2025), deducting the reported number of stateless refugees at year-end.</t>
  </si>
  <si>
    <t xml:space="preserve">Figure is based on the total cumulative figure from the Victim’s Registry which commenced in 1985 (https://www.unidadvictimas.gov.co/en).</t>
  </si>
  <si>
    <t xml:space="preserve">Based on new arrivals information in the report of international organizations and UNHCR protection monitoring activities, UNHCR estimates there to be 27,540 people of various origins in Kyrgyzstan who may be in need of international protection.</t>
  </si>
  <si>
    <t xml:space="preserve">The IDP figure has been aligned to the inter-agency methodology as defined in the 2022 Humanitarian Needs Overview, including an area-based improvement of the estimation of people displaced in government-controlled areas. The others of concern figure relates to persons who have specific protection needs and live in non-government-controlled areas.</t>
  </si>
  <si>
    <t xml:space="preserve">The refugee population in Jordan includes 34,200 Iraqis registered with UNHCR. The Government of Jordan estimated the number of Iraqis at 400,000 individuals at the end of March 2015. This includes refugees and other categories of Iraqis.</t>
  </si>
  <si>
    <t xml:space="preserve">Various studies estimate that a significant number of individuals originally from Nepal lack citizenship certificates. While these individuals originally from Nepal are not all necessarily stateless, UNHCR has been working closely with the Government of Nepal and partners to address this situation. 467 stateless persons of Rohingya ethnicity who are also counted as refugees or asylum-seekers from Myanmar, mainly from Rakhine State, are reported in Nepal.</t>
  </si>
  <si>
    <t xml:space="preserve">According to the results of the 2020 All-Russia Census finalized at end-2022, some 95,193 persons declared themselves stateless. The number of persons who have acquired Russian citizenship in each subsequent year has been subtracted from this total.</t>
  </si>
</sst>
</file>

<file path=xl/styles.xml><?xml version="1.0" encoding="utf-8"?>
<styleSheet xmlns="http://schemas.openxmlformats.org/spreadsheetml/2006/main">
  <numFmts count="11">
    <numFmt numFmtId="164" formatCode="General"/>
    <numFmt numFmtId="165" formatCode="#,##0"/>
    <numFmt numFmtId="166" formatCode="0.0%"/>
    <numFmt numFmtId="167" formatCode="0"/>
    <numFmt numFmtId="168" formatCode="#,##0;[RED]\-#,##0;\-"/>
    <numFmt numFmtId="169" formatCode="0%;[RED]\-0%"/>
    <numFmt numFmtId="170" formatCode="0.0%;[RED]\-0.0%"/>
    <numFmt numFmtId="171" formatCode="\+0.0%;[RED]\-0.0%"/>
    <numFmt numFmtId="172" formatCode="0%"/>
    <numFmt numFmtId="173" formatCode="\+#,##0;[RED]\-#,##0;\-"/>
    <numFmt numFmtId="174" formatCode="0.000000"/>
  </numFmts>
  <fonts count="14">
    <font>
      <sz val="11"/>
      <color theme="1"/>
      <name val="Calibri"/>
      <family val="2"/>
      <charset val="1"/>
    </font>
    <font>
      <sz val="10"/>
      <name val="Arial"/>
      <family val="0"/>
    </font>
    <font>
      <sz val="10"/>
      <name val="Arial"/>
      <family val="0"/>
    </font>
    <font>
      <sz val="10"/>
      <name val="Arial"/>
      <family val="0"/>
    </font>
    <font>
      <b val="true"/>
      <sz val="16"/>
      <color rgb="FF1F2A44"/>
      <name val="Arial"/>
      <family val="0"/>
      <charset val="1"/>
    </font>
    <font>
      <b val="true"/>
      <sz val="10"/>
      <name val="Arial"/>
      <family val="0"/>
      <charset val="1"/>
    </font>
    <font>
      <sz val="10"/>
      <name val="Arial"/>
      <family val="0"/>
      <charset val="1"/>
    </font>
    <font>
      <b val="true"/>
      <sz val="10"/>
      <color rgb="FFFFFFFF"/>
      <name val="Arial"/>
      <family val="0"/>
      <charset val="1"/>
    </font>
    <font>
      <i val="true"/>
      <sz val="10"/>
      <color rgb="FF595959"/>
      <name val="Arial"/>
      <family val="0"/>
      <charset val="1"/>
    </font>
    <font>
      <sz val="10"/>
      <color rgb="FF008000"/>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0"/>
      <color rgb="FF0000FF"/>
      <name val="Arial"/>
      <family val="0"/>
      <charset val="1"/>
    </font>
  </fonts>
  <fills count="9">
    <fill>
      <patternFill patternType="none"/>
    </fill>
    <fill>
      <patternFill patternType="gray125"/>
    </fill>
    <fill>
      <patternFill patternType="solid">
        <fgColor rgb="FF1F2A44"/>
        <bgColor rgb="FF003366"/>
      </patternFill>
    </fill>
    <fill>
      <patternFill patternType="solid">
        <fgColor rgb="FFF2F2F0"/>
        <bgColor rgb="FFEAF1FB"/>
      </patternFill>
    </fill>
    <fill>
      <patternFill patternType="solid">
        <fgColor rgb="FFFFF2CC"/>
        <bgColor rgb="FFFDEBC8"/>
      </patternFill>
    </fill>
    <fill>
      <patternFill patternType="solid">
        <fgColor rgb="FFF8D7D7"/>
        <bgColor rgb="FFFDEBC8"/>
      </patternFill>
    </fill>
    <fill>
      <patternFill patternType="solid">
        <fgColor rgb="FFFDEBC8"/>
        <bgColor rgb="FFFFF2CC"/>
      </patternFill>
    </fill>
    <fill>
      <patternFill patternType="solid">
        <fgColor rgb="FFE4EFE6"/>
        <bgColor rgb="FFEAF1FB"/>
      </patternFill>
    </fill>
    <fill>
      <patternFill patternType="solid">
        <fgColor rgb="FFEAF1FB"/>
        <bgColor rgb="FFF2F2F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general" vertical="top"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7" fontId="7" fillId="2" borderId="0" xfId="0" applyFont="true" applyBorder="false" applyAlignment="true" applyProtection="false">
      <alignment horizontal="center" vertical="center" textRotation="0" wrapText="tru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8" fontId="5" fillId="3" borderId="0" xfId="0" applyFont="true" applyBorder="false" applyAlignment="false" applyProtection="false">
      <alignment horizontal="general" vertical="bottom" textRotation="0" wrapText="false" indent="0" shrinkToFit="false"/>
      <protection locked="true" hidden="false"/>
    </xf>
    <xf numFmtId="169" fontId="5" fillId="3" borderId="0" xfId="0" applyFont="true" applyBorder="false" applyAlignment="false" applyProtection="false">
      <alignment horizontal="general" vertical="bottom" textRotation="0" wrapText="false" indent="0" shrinkToFit="false"/>
      <protection locked="true" hidden="false"/>
    </xf>
    <xf numFmtId="170" fontId="5" fillId="3"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true" applyProtection="false">
      <alignment horizontal="center" vertical="bottom" textRotation="0" wrapText="false" indent="0" shrinkToFit="false"/>
      <protection locked="true" hidden="false"/>
    </xf>
    <xf numFmtId="164" fontId="6" fillId="0" borderId="0" xfId="0" applyFont="true" applyBorder="false" applyAlignment="true" applyProtection="false">
      <alignment horizontal="center" vertical="bottom" textRotation="0" wrapText="false" indent="0" shrinkToFit="false"/>
      <protection locked="true" hidden="false"/>
    </xf>
    <xf numFmtId="173" fontId="6" fillId="0" borderId="0" xfId="0" applyFont="true" applyBorder="false" applyAlignment="true" applyProtection="false">
      <alignment horizontal="right" vertical="bottom" textRotation="0" wrapText="false" indent="0" shrinkToFit="false"/>
      <protection locked="true" hidden="false"/>
    </xf>
    <xf numFmtId="173" fontId="6"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74" fontId="6" fillId="0" borderId="0" xfId="0" applyFont="true" applyBorder="false" applyAlignment="false" applyProtection="false">
      <alignment horizontal="general" vertical="bottom" textRotation="0" wrapText="false" indent="0" shrinkToFit="false"/>
      <protection locked="true" hidden="false"/>
    </xf>
    <xf numFmtId="166" fontId="5" fillId="3" borderId="0" xfId="0" applyFont="true" applyBorder="false" applyAlignment="false" applyProtection="false">
      <alignment horizontal="general" vertical="bottom" textRotation="0" wrapText="false" indent="0" shrinkToFit="false"/>
      <protection locked="true" hidden="false"/>
    </xf>
    <xf numFmtId="167" fontId="5" fillId="3" borderId="0" xfId="0" applyFont="true" applyBorder="false" applyAlignment="false" applyProtection="false">
      <alignment horizontal="general" vertical="bottom" textRotation="0" wrapText="false" indent="0" shrinkToFit="false"/>
      <protection locked="true" hidden="false"/>
    </xf>
    <xf numFmtId="174" fontId="5" fillId="3" borderId="0" xfId="0" applyFont="true" applyBorder="false" applyAlignment="false" applyProtection="false">
      <alignment horizontal="general" vertical="bottom" textRotation="0" wrapText="false" indent="0" shrinkToFit="false"/>
      <protection locked="true" hidden="false"/>
    </xf>
    <xf numFmtId="164" fontId="13" fillId="4"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center" vertical="top" textRotation="0" wrapText="false" indent="0" shrinkToFit="false"/>
      <protection locked="true" hidden="false"/>
    </xf>
    <xf numFmtId="164" fontId="5" fillId="5" borderId="0" xfId="0" applyFont="true" applyBorder="false" applyAlignment="true" applyProtection="false">
      <alignment horizontal="general" vertical="top" textRotation="0" wrapText="true" indent="0" shrinkToFit="false"/>
      <protection locked="true" hidden="false"/>
    </xf>
    <xf numFmtId="164" fontId="5" fillId="6" borderId="0" xfId="0" applyFont="true" applyBorder="false" applyAlignment="true" applyProtection="false">
      <alignment horizontal="general" vertical="top" textRotation="0" wrapText="true" indent="0" shrinkToFit="false"/>
      <protection locked="true" hidden="false"/>
    </xf>
    <xf numFmtId="164" fontId="5" fillId="7" borderId="0" xfId="0" applyFont="true" applyBorder="false" applyAlignment="true" applyProtection="false">
      <alignment horizontal="general" vertical="top" textRotation="0" wrapText="true" indent="0" shrinkToFit="false"/>
      <protection locked="true" hidden="false"/>
    </xf>
    <xf numFmtId="167" fontId="6" fillId="0" borderId="0" xfId="0" applyFont="true" applyBorder="false" applyAlignment="true" applyProtection="false">
      <alignment horizontal="left" vertical="bottom" textRotation="0" wrapText="false" indent="0" shrinkToFit="false"/>
      <protection locked="true" hidden="false"/>
    </xf>
    <xf numFmtId="164" fontId="6" fillId="8" borderId="0" xfId="0" applyFont="true" applyBorder="false" applyAlignment="false" applyProtection="false">
      <alignment horizontal="general" vertical="bottom" textRotation="0" wrapText="false" indent="0" shrinkToFit="false"/>
      <protection locked="true" hidden="false"/>
    </xf>
    <xf numFmtId="164" fontId="6" fillId="8"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2A44"/>
          <bgColor rgb="FF000000"/>
        </patternFill>
      </fill>
    </dxf>
    <dxf>
      <fill>
        <patternFill patternType="solid">
          <bgColor rgb="FF000000"/>
        </patternFill>
      </fill>
    </dxf>
    <dxf>
      <fill>
        <patternFill patternType="solid">
          <fgColor rgb="FFFFFFFF"/>
          <bgColor rgb="FF000000"/>
        </patternFill>
      </fill>
    </dxf>
    <dxf>
      <fill>
        <patternFill patternType="solid">
          <fgColor rgb="FFFF0000"/>
          <bgColor rgb="FF000000"/>
        </patternFill>
      </fill>
    </dxf>
    <dxf>
      <fill>
        <patternFill patternType="solid">
          <fgColor rgb="FFEAF1FB"/>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9F9F9"/>
      <rgbColor rgb="FF7F7F7F"/>
      <rgbColor rgb="FF9999FF"/>
      <rgbColor rgb="FFE34948"/>
      <rgbColor rgb="FFFFF2CC"/>
      <rgbColor rgb="FFEAF1FB"/>
      <rgbColor rgb="FF660066"/>
      <rgbColor rgb="FFE87BA4"/>
      <rgbColor rgb="FF0066CC"/>
      <rgbColor rgb="FFD9D9D9"/>
      <rgbColor rgb="FF000080"/>
      <rgbColor rgb="FFFF00FF"/>
      <rgbColor rgb="FFFFFF00"/>
      <rgbColor rgb="FF00FFFF"/>
      <rgbColor rgb="FF800080"/>
      <rgbColor rgb="FF800000"/>
      <rgbColor rgb="FF008080"/>
      <rgbColor rgb="FF0000FF"/>
      <rgbColor rgb="FF00CCFF"/>
      <rgbColor rgb="FFE4EFE6"/>
      <rgbColor rgb="FFF2F2F0"/>
      <rgbColor rgb="FFFDEBC8"/>
      <rgbColor rgb="FF99CCFF"/>
      <rgbColor rgb="FFFF99CC"/>
      <rgbColor rgb="FFCC99FF"/>
      <rgbColor rgb="FFF8D7D7"/>
      <rgbColor rgb="FF2A78D6"/>
      <rgbColor rgb="FF33CCCC"/>
      <rgbColor rgb="FF99CC00"/>
      <rgbColor rgb="FFFFCC00"/>
      <rgbColor rgb="FFEDA100"/>
      <rgbColor rgb="FFEB6834"/>
      <rgbColor rgb="FF595959"/>
      <rgbColor rgb="FF878787"/>
      <rgbColor rgb="FF003366"/>
      <rgbColor rgb="FF1BAF7A"/>
      <rgbColor rgb="FF003300"/>
      <rgbColor rgb="FF333300"/>
      <rgbColor rgb="FF993300"/>
      <rgbColor rgb="FF993366"/>
      <rgbColor rgb="FF6250D6"/>
      <rgbColor rgb="FF1F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People recorded abroad by destination subregion</a:t>
            </a:r>
          </a:p>
        </c:rich>
      </c:tx>
      <c:overlay val="0"/>
      <c:spPr>
        <a:noFill/>
        <a:ln w="0">
          <a:noFill/>
        </a:ln>
      </c:spPr>
    </c:title>
    <c:autoTitleDeleted val="0"/>
    <c:plotArea>
      <c:barChart>
        <c:barDir val="col"/>
        <c:grouping val="stacked"/>
        <c:varyColors val="0"/>
        <c:ser>
          <c:idx val="0"/>
          <c:order val="0"/>
          <c:tx>
            <c:strRef>
              <c:f>Summary!A6</c:f>
              <c:strCache>
                <c:ptCount val="1"/>
                <c:pt idx="0">
                  <c:v>Andean region</c:v>
                </c:pt>
              </c:strCache>
            </c:strRef>
          </c:tx>
          <c:spPr>
            <a:solidFill>
              <a:srgbClr val="2a78d6"/>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Summary!$B$6:$G$6</c:f>
              <c:numCache>
                <c:formatCode>#,##0;[RED]\-#,##0;\-</c:formatCode>
                <c:ptCount val="6"/>
                <c:pt idx="0">
                  <c:v>3225656</c:v>
                </c:pt>
                <c:pt idx="1">
                  <c:v>3720840</c:v>
                </c:pt>
                <c:pt idx="2">
                  <c:v>4499944</c:v>
                </c:pt>
                <c:pt idx="3">
                  <c:v>4909042</c:v>
                </c:pt>
                <c:pt idx="4">
                  <c:v>4945674</c:v>
                </c:pt>
                <c:pt idx="5">
                  <c:v>4927701</c:v>
                </c:pt>
              </c:numCache>
            </c:numRef>
          </c:val>
        </c:ser>
        <c:ser>
          <c:idx val="1"/>
          <c:order val="1"/>
          <c:tx>
            <c:strRef>
              <c:f>Summary!A7</c:f>
              <c:strCache>
                <c:ptCount val="1"/>
                <c:pt idx="0">
                  <c:v>Southern Cone &amp; Brazil</c:v>
                </c:pt>
              </c:strCache>
            </c:strRef>
          </c:tx>
          <c:spPr>
            <a:solidFill>
              <a:srgbClr val="eb6834"/>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Summary!$B$7:$G$7</c:f>
              <c:numCache>
                <c:formatCode>#,##0;[RED]\-#,##0;\-</c:formatCode>
                <c:ptCount val="6"/>
                <c:pt idx="0">
                  <c:v>954333</c:v>
                </c:pt>
                <c:pt idx="1">
                  <c:v>1009420</c:v>
                </c:pt>
                <c:pt idx="2">
                  <c:v>1062238</c:v>
                </c:pt>
                <c:pt idx="3">
                  <c:v>1210997</c:v>
                </c:pt>
                <c:pt idx="4">
                  <c:v>1371935</c:v>
                </c:pt>
                <c:pt idx="5">
                  <c:v>1605397</c:v>
                </c:pt>
              </c:numCache>
            </c:numRef>
          </c:val>
        </c:ser>
        <c:ser>
          <c:idx val="2"/>
          <c:order val="2"/>
          <c:tx>
            <c:strRef>
              <c:f>Summary!A8</c:f>
              <c:strCache>
                <c:ptCount val="1"/>
                <c:pt idx="0">
                  <c:v>Central America &amp; Mexico</c:v>
                </c:pt>
              </c:strCache>
            </c:strRef>
          </c:tx>
          <c:spPr>
            <a:solidFill>
              <a:srgbClr val="1baf7a"/>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Summary!$B$8:$G$8</c:f>
              <c:numCache>
                <c:formatCode>#,##0;[RED]\-#,##0;\-</c:formatCode>
                <c:ptCount val="6"/>
                <c:pt idx="0">
                  <c:v>253041</c:v>
                </c:pt>
                <c:pt idx="1">
                  <c:v>251717</c:v>
                </c:pt>
                <c:pt idx="2">
                  <c:v>450315</c:v>
                </c:pt>
                <c:pt idx="3">
                  <c:v>290438</c:v>
                </c:pt>
                <c:pt idx="4">
                  <c:v>404426</c:v>
                </c:pt>
                <c:pt idx="5">
                  <c:v>227881</c:v>
                </c:pt>
              </c:numCache>
            </c:numRef>
          </c:val>
        </c:ser>
        <c:ser>
          <c:idx val="3"/>
          <c:order val="3"/>
          <c:tx>
            <c:strRef>
              <c:f>Summary!A9</c:f>
              <c:strCache>
                <c:ptCount val="1"/>
                <c:pt idx="0">
                  <c:v>Caribbean &amp; Guianas</c:v>
                </c:pt>
              </c:strCache>
            </c:strRef>
          </c:tx>
          <c:spPr>
            <a:solidFill>
              <a:srgbClr val="eda100"/>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Summary!$B$9:$G$9</c:f>
              <c:numCache>
                <c:formatCode>#,##0;[RED]\-#,##0;\-</c:formatCode>
                <c:ptCount val="6"/>
                <c:pt idx="0">
                  <c:v>196486</c:v>
                </c:pt>
                <c:pt idx="1">
                  <c:v>206896</c:v>
                </c:pt>
                <c:pt idx="2">
                  <c:v>202393</c:v>
                </c:pt>
                <c:pt idx="3">
                  <c:v>213846</c:v>
                </c:pt>
                <c:pt idx="4">
                  <c:v>202206</c:v>
                </c:pt>
                <c:pt idx="5">
                  <c:v>168580</c:v>
                </c:pt>
              </c:numCache>
            </c:numRef>
          </c:val>
        </c:ser>
        <c:ser>
          <c:idx val="4"/>
          <c:order val="4"/>
          <c:tx>
            <c:strRef>
              <c:f>Summary!A10</c:f>
              <c:strCache>
                <c:ptCount val="1"/>
                <c:pt idx="0">
                  <c:v>North America</c:v>
                </c:pt>
              </c:strCache>
            </c:strRef>
          </c:tx>
          <c:spPr>
            <a:solidFill>
              <a:srgbClr val="e87ba4"/>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Summary!$B$10:$G$10</c:f>
              <c:numCache>
                <c:formatCode>#,##0;[RED]\-#,##0;\-</c:formatCode>
                <c:ptCount val="6"/>
                <c:pt idx="0">
                  <c:v>151483</c:v>
                </c:pt>
                <c:pt idx="1">
                  <c:v>270336</c:v>
                </c:pt>
                <c:pt idx="2">
                  <c:v>397570</c:v>
                </c:pt>
                <c:pt idx="3">
                  <c:v>555101</c:v>
                </c:pt>
                <c:pt idx="4">
                  <c:v>655061</c:v>
                </c:pt>
                <c:pt idx="5">
                  <c:v>442734</c:v>
                </c:pt>
              </c:numCache>
            </c:numRef>
          </c:val>
        </c:ser>
        <c:ser>
          <c:idx val="5"/>
          <c:order val="5"/>
          <c:tx>
            <c:strRef>
              <c:f>Summary!A11</c:f>
              <c:strCache>
                <c:ptCount val="1"/>
                <c:pt idx="0">
                  <c:v>Europe</c:v>
                </c:pt>
              </c:strCache>
            </c:strRef>
          </c:tx>
          <c:spPr>
            <a:solidFill>
              <a:srgbClr val="6250d6"/>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Summary!$B$11:$G$11</c:f>
              <c:numCache>
                <c:formatCode>#,##0;[RED]\-#,##0;\-</c:formatCode>
                <c:ptCount val="6"/>
                <c:pt idx="0">
                  <c:v>102989</c:v>
                </c:pt>
                <c:pt idx="1">
                  <c:v>116999</c:v>
                </c:pt>
                <c:pt idx="2">
                  <c:v>153546</c:v>
                </c:pt>
                <c:pt idx="3">
                  <c:v>209808</c:v>
                </c:pt>
                <c:pt idx="4">
                  <c:v>246410</c:v>
                </c:pt>
                <c:pt idx="5">
                  <c:v>310086</c:v>
                </c:pt>
              </c:numCache>
            </c:numRef>
          </c:val>
        </c:ser>
        <c:ser>
          <c:idx val="6"/>
          <c:order val="6"/>
          <c:tx>
            <c:strRef>
              <c:f>Summary!A12</c:f>
              <c:strCache>
                <c:ptCount val="1"/>
                <c:pt idx="0">
                  <c:v>Rest of world</c:v>
                </c:pt>
              </c:strCache>
            </c:strRef>
          </c:tx>
          <c:spPr>
            <a:solidFill>
              <a:srgbClr val="e34948"/>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Summary!$B$12:$G$12</c:f>
              <c:numCache>
                <c:formatCode>#,##0;[RED]\-#,##0;\-</c:formatCode>
                <c:ptCount val="6"/>
                <c:pt idx="0">
                  <c:v>491</c:v>
                </c:pt>
                <c:pt idx="1">
                  <c:v>532</c:v>
                </c:pt>
                <c:pt idx="2">
                  <c:v>535</c:v>
                </c:pt>
                <c:pt idx="3">
                  <c:v>680</c:v>
                </c:pt>
                <c:pt idx="4">
                  <c:v>381</c:v>
                </c:pt>
                <c:pt idx="5">
                  <c:v>373</c:v>
                </c:pt>
              </c:numCache>
            </c:numRef>
          </c:val>
        </c:ser>
        <c:gapWidth val="150"/>
        <c:overlap val="100"/>
        <c:axId val="8210123"/>
        <c:axId val="9135050"/>
      </c:barChart>
      <c:catAx>
        <c:axId val="8210123"/>
        <c:scaling>
          <c:orientation val="minMax"/>
        </c:scaling>
        <c:delete val="0"/>
        <c:axPos val="b"/>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135050"/>
        <c:crosses val="autoZero"/>
        <c:auto val="1"/>
        <c:lblAlgn val="ctr"/>
        <c:lblOffset val="100"/>
        <c:noMultiLvlLbl val="0"/>
      </c:catAx>
      <c:valAx>
        <c:axId val="9135050"/>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People</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21012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Share of people recorded abroad</a:t>
            </a:r>
          </a:p>
        </c:rich>
      </c:tx>
      <c:overlay val="0"/>
      <c:spPr>
        <a:noFill/>
        <a:ln w="0">
          <a:noFill/>
        </a:ln>
      </c:spPr>
    </c:title>
    <c:autoTitleDeleted val="0"/>
    <c:plotArea>
      <c:barChart>
        <c:barDir val="col"/>
        <c:grouping val="percentStacked"/>
        <c:varyColors val="0"/>
        <c:ser>
          <c:idx val="0"/>
          <c:order val="0"/>
          <c:tx>
            <c:strRef>
              <c:f>Summary!A6</c:f>
              <c:strCache>
                <c:ptCount val="1"/>
                <c:pt idx="0">
                  <c:v>Andean region</c:v>
                </c:pt>
              </c:strCache>
            </c:strRef>
          </c:tx>
          <c:spPr>
            <a:solidFill>
              <a:srgbClr val="2a78d6"/>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Summary!$B$6:$G$6</c:f>
              <c:numCache>
                <c:formatCode>#,##0;[RED]\-#,##0;\-</c:formatCode>
                <c:ptCount val="6"/>
                <c:pt idx="0">
                  <c:v>3225656</c:v>
                </c:pt>
                <c:pt idx="1">
                  <c:v>3720840</c:v>
                </c:pt>
                <c:pt idx="2">
                  <c:v>4499944</c:v>
                </c:pt>
                <c:pt idx="3">
                  <c:v>4909042</c:v>
                </c:pt>
                <c:pt idx="4">
                  <c:v>4945674</c:v>
                </c:pt>
                <c:pt idx="5">
                  <c:v>4927701</c:v>
                </c:pt>
              </c:numCache>
            </c:numRef>
          </c:val>
        </c:ser>
        <c:ser>
          <c:idx val="1"/>
          <c:order val="1"/>
          <c:tx>
            <c:strRef>
              <c:f>Summary!A7</c:f>
              <c:strCache>
                <c:ptCount val="1"/>
                <c:pt idx="0">
                  <c:v>Southern Cone &amp; Brazil</c:v>
                </c:pt>
              </c:strCache>
            </c:strRef>
          </c:tx>
          <c:spPr>
            <a:solidFill>
              <a:srgbClr val="eb6834"/>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Summary!$B$7:$G$7</c:f>
              <c:numCache>
                <c:formatCode>#,##0;[RED]\-#,##0;\-</c:formatCode>
                <c:ptCount val="6"/>
                <c:pt idx="0">
                  <c:v>954333</c:v>
                </c:pt>
                <c:pt idx="1">
                  <c:v>1009420</c:v>
                </c:pt>
                <c:pt idx="2">
                  <c:v>1062238</c:v>
                </c:pt>
                <c:pt idx="3">
                  <c:v>1210997</c:v>
                </c:pt>
                <c:pt idx="4">
                  <c:v>1371935</c:v>
                </c:pt>
                <c:pt idx="5">
                  <c:v>1605397</c:v>
                </c:pt>
              </c:numCache>
            </c:numRef>
          </c:val>
        </c:ser>
        <c:ser>
          <c:idx val="2"/>
          <c:order val="2"/>
          <c:tx>
            <c:strRef>
              <c:f>Summary!A8</c:f>
              <c:strCache>
                <c:ptCount val="1"/>
                <c:pt idx="0">
                  <c:v>Central America &amp; Mexico</c:v>
                </c:pt>
              </c:strCache>
            </c:strRef>
          </c:tx>
          <c:spPr>
            <a:solidFill>
              <a:srgbClr val="1baf7a"/>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Summary!$B$8:$G$8</c:f>
              <c:numCache>
                <c:formatCode>#,##0;[RED]\-#,##0;\-</c:formatCode>
                <c:ptCount val="6"/>
                <c:pt idx="0">
                  <c:v>253041</c:v>
                </c:pt>
                <c:pt idx="1">
                  <c:v>251717</c:v>
                </c:pt>
                <c:pt idx="2">
                  <c:v>450315</c:v>
                </c:pt>
                <c:pt idx="3">
                  <c:v>290438</c:v>
                </c:pt>
                <c:pt idx="4">
                  <c:v>404426</c:v>
                </c:pt>
                <c:pt idx="5">
                  <c:v>227881</c:v>
                </c:pt>
              </c:numCache>
            </c:numRef>
          </c:val>
        </c:ser>
        <c:ser>
          <c:idx val="3"/>
          <c:order val="3"/>
          <c:tx>
            <c:strRef>
              <c:f>Summary!A9</c:f>
              <c:strCache>
                <c:ptCount val="1"/>
                <c:pt idx="0">
                  <c:v>Caribbean &amp; Guianas</c:v>
                </c:pt>
              </c:strCache>
            </c:strRef>
          </c:tx>
          <c:spPr>
            <a:solidFill>
              <a:srgbClr val="eda100"/>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Summary!$B$9:$G$9</c:f>
              <c:numCache>
                <c:formatCode>#,##0;[RED]\-#,##0;\-</c:formatCode>
                <c:ptCount val="6"/>
                <c:pt idx="0">
                  <c:v>196486</c:v>
                </c:pt>
                <c:pt idx="1">
                  <c:v>206896</c:v>
                </c:pt>
                <c:pt idx="2">
                  <c:v>202393</c:v>
                </c:pt>
                <c:pt idx="3">
                  <c:v>213846</c:v>
                </c:pt>
                <c:pt idx="4">
                  <c:v>202206</c:v>
                </c:pt>
                <c:pt idx="5">
                  <c:v>168580</c:v>
                </c:pt>
              </c:numCache>
            </c:numRef>
          </c:val>
        </c:ser>
        <c:ser>
          <c:idx val="4"/>
          <c:order val="4"/>
          <c:tx>
            <c:strRef>
              <c:f>Summary!A10</c:f>
              <c:strCache>
                <c:ptCount val="1"/>
                <c:pt idx="0">
                  <c:v>North America</c:v>
                </c:pt>
              </c:strCache>
            </c:strRef>
          </c:tx>
          <c:spPr>
            <a:solidFill>
              <a:srgbClr val="e87ba4"/>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Summary!$B$10:$G$10</c:f>
              <c:numCache>
                <c:formatCode>#,##0;[RED]\-#,##0;\-</c:formatCode>
                <c:ptCount val="6"/>
                <c:pt idx="0">
                  <c:v>151483</c:v>
                </c:pt>
                <c:pt idx="1">
                  <c:v>270336</c:v>
                </c:pt>
                <c:pt idx="2">
                  <c:v>397570</c:v>
                </c:pt>
                <c:pt idx="3">
                  <c:v>555101</c:v>
                </c:pt>
                <c:pt idx="4">
                  <c:v>655061</c:v>
                </c:pt>
                <c:pt idx="5">
                  <c:v>442734</c:v>
                </c:pt>
              </c:numCache>
            </c:numRef>
          </c:val>
        </c:ser>
        <c:ser>
          <c:idx val="5"/>
          <c:order val="5"/>
          <c:tx>
            <c:strRef>
              <c:f>Summary!A11</c:f>
              <c:strCache>
                <c:ptCount val="1"/>
                <c:pt idx="0">
                  <c:v>Europe</c:v>
                </c:pt>
              </c:strCache>
            </c:strRef>
          </c:tx>
          <c:spPr>
            <a:solidFill>
              <a:srgbClr val="6250d6"/>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Summary!$B$11:$G$11</c:f>
              <c:numCache>
                <c:formatCode>#,##0;[RED]\-#,##0;\-</c:formatCode>
                <c:ptCount val="6"/>
                <c:pt idx="0">
                  <c:v>102989</c:v>
                </c:pt>
                <c:pt idx="1">
                  <c:v>116999</c:v>
                </c:pt>
                <c:pt idx="2">
                  <c:v>153546</c:v>
                </c:pt>
                <c:pt idx="3">
                  <c:v>209808</c:v>
                </c:pt>
                <c:pt idx="4">
                  <c:v>246410</c:v>
                </c:pt>
                <c:pt idx="5">
                  <c:v>310086</c:v>
                </c:pt>
              </c:numCache>
            </c:numRef>
          </c:val>
        </c:ser>
        <c:ser>
          <c:idx val="6"/>
          <c:order val="6"/>
          <c:tx>
            <c:strRef>
              <c:f>Summary!A12</c:f>
              <c:strCache>
                <c:ptCount val="1"/>
                <c:pt idx="0">
                  <c:v>Rest of world</c:v>
                </c:pt>
              </c:strCache>
            </c:strRef>
          </c:tx>
          <c:spPr>
            <a:solidFill>
              <a:srgbClr val="e34948"/>
            </a:solidFill>
            <a:ln w="0">
              <a:solidFill>
                <a:srgbClr val="ffffff"/>
              </a:solid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Summary!$B$5:$G$5</c:f>
              <c:strCache>
                <c:ptCount val="6"/>
                <c:pt idx="0">
                  <c:v>2020</c:v>
                </c:pt>
                <c:pt idx="1">
                  <c:v>2021</c:v>
                </c:pt>
                <c:pt idx="2">
                  <c:v>2022</c:v>
                </c:pt>
                <c:pt idx="3">
                  <c:v>2023</c:v>
                </c:pt>
                <c:pt idx="4">
                  <c:v>2024</c:v>
                </c:pt>
                <c:pt idx="5">
                  <c:v>2025</c:v>
                </c:pt>
              </c:strCache>
            </c:strRef>
          </c:cat>
          <c:val>
            <c:numRef>
              <c:f>Summary!$B$12:$G$12</c:f>
              <c:numCache>
                <c:formatCode>#,##0;[RED]\-#,##0;\-</c:formatCode>
                <c:ptCount val="6"/>
                <c:pt idx="0">
                  <c:v>491</c:v>
                </c:pt>
                <c:pt idx="1">
                  <c:v>532</c:v>
                </c:pt>
                <c:pt idx="2">
                  <c:v>535</c:v>
                </c:pt>
                <c:pt idx="3">
                  <c:v>680</c:v>
                </c:pt>
                <c:pt idx="4">
                  <c:v>381</c:v>
                </c:pt>
                <c:pt idx="5">
                  <c:v>373</c:v>
                </c:pt>
              </c:numCache>
            </c:numRef>
          </c:val>
        </c:ser>
        <c:gapWidth val="150"/>
        <c:overlap val="100"/>
        <c:axId val="96843541"/>
        <c:axId val="31912363"/>
      </c:barChart>
      <c:catAx>
        <c:axId val="96843541"/>
        <c:scaling>
          <c:orientation val="minMax"/>
        </c:scaling>
        <c:delete val="0"/>
        <c:axPos val="b"/>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1912363"/>
        <c:crosses val="autoZero"/>
        <c:auto val="1"/>
        <c:lblAlgn val="ctr"/>
        <c:lblOffset val="100"/>
        <c:noMultiLvlLbl val="0"/>
      </c:catAx>
      <c:valAx>
        <c:axId val="31912363"/>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6843541"/>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Top 15 destinations (selected year)</a:t>
            </a:r>
          </a:p>
        </c:rich>
      </c:tx>
      <c:overlay val="0"/>
      <c:spPr>
        <a:noFill/>
        <a:ln w="0">
          <a:noFill/>
        </a:ln>
      </c:spPr>
    </c:title>
    <c:autoTitleDeleted val="0"/>
    <c:plotArea>
      <c:barChart>
        <c:barDir val="bar"/>
        <c:grouping val="clustered"/>
        <c:varyColors val="0"/>
        <c:ser>
          <c:idx val="0"/>
          <c:order val="0"/>
          <c:tx>
            <c:strRef>
              <c:f>Explorer!E9</c:f>
              <c:strCache>
                <c:ptCount val="1"/>
                <c:pt idx="0">
                  <c:v>People</c:v>
                </c:pt>
              </c:strCache>
            </c:strRef>
          </c:tx>
          <c:spPr>
            <a:solidFill>
              <a:srgbClr val="2a78d6"/>
            </a:solidFill>
            <a:ln w="9360">
              <a:solidFill>
                <a:srgbClr val="f9f9f9"/>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Explorer!$C$10:$C$24</c:f>
              <c:strCache>
                <c:ptCount val="15"/>
                <c:pt idx="0">
                  <c:v>Colombia</c:v>
                </c:pt>
                <c:pt idx="1">
                  <c:v>Peru</c:v>
                </c:pt>
                <c:pt idx="2">
                  <c:v>Brazil</c:v>
                </c:pt>
                <c:pt idx="3">
                  <c:v>Chile</c:v>
                </c:pt>
                <c:pt idx="4">
                  <c:v>Ecuador</c:v>
                </c:pt>
                <c:pt idx="5">
                  <c:v>United States</c:v>
                </c:pt>
                <c:pt idx="6">
                  <c:v>Spain</c:v>
                </c:pt>
                <c:pt idx="7">
                  <c:v>Argentina</c:v>
                </c:pt>
                <c:pt idx="8">
                  <c:v>Mexico</c:v>
                </c:pt>
                <c:pt idx="9">
                  <c:v>Dominican Republic</c:v>
                </c:pt>
                <c:pt idx="10">
                  <c:v>Panama</c:v>
                </c:pt>
                <c:pt idx="11">
                  <c:v>Costa Rica</c:v>
                </c:pt>
                <c:pt idx="12">
                  <c:v>Trinidad and Tobago</c:v>
                </c:pt>
                <c:pt idx="13">
                  <c:v>Uruguay</c:v>
                </c:pt>
                <c:pt idx="14">
                  <c:v>Guyana</c:v>
                </c:pt>
              </c:strCache>
            </c:strRef>
          </c:cat>
          <c:val>
            <c:numRef>
              <c:f>Explorer!$E$10:$E$24</c:f>
              <c:numCache>
                <c:formatCode>#,##0</c:formatCode>
                <c:ptCount val="15"/>
                <c:pt idx="0">
                  <c:v>2828195</c:v>
                </c:pt>
                <c:pt idx="1">
                  <c:v>1641305</c:v>
                </c:pt>
                <c:pt idx="2">
                  <c:v>732272</c:v>
                </c:pt>
                <c:pt idx="3">
                  <c:v>669408</c:v>
                </c:pt>
                <c:pt idx="4">
                  <c:v>441063</c:v>
                </c:pt>
                <c:pt idx="5">
                  <c:v>435298</c:v>
                </c:pt>
                <c:pt idx="6">
                  <c:v>283741</c:v>
                </c:pt>
                <c:pt idx="7">
                  <c:v>174794</c:v>
                </c:pt>
                <c:pt idx="8">
                  <c:v>106015</c:v>
                </c:pt>
                <c:pt idx="9">
                  <c:v>99692</c:v>
                </c:pt>
                <c:pt idx="10">
                  <c:v>57845</c:v>
                </c:pt>
                <c:pt idx="11">
                  <c:v>29493</c:v>
                </c:pt>
                <c:pt idx="12">
                  <c:v>26432</c:v>
                </c:pt>
                <c:pt idx="13">
                  <c:v>24998</c:v>
                </c:pt>
                <c:pt idx="14">
                  <c:v>23413</c:v>
                </c:pt>
              </c:numCache>
            </c:numRef>
          </c:val>
        </c:ser>
        <c:gapWidth val="60"/>
        <c:overlap val="0"/>
        <c:axId val="14203516"/>
        <c:axId val="67510321"/>
      </c:barChart>
      <c:catAx>
        <c:axId val="14203516"/>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7510321"/>
        <c:crosses val="autoZero"/>
        <c:auto val="1"/>
        <c:lblAlgn val="ctr"/>
        <c:lblOffset val="100"/>
        <c:noMultiLvlLbl val="0"/>
      </c:catAx>
      <c:valAx>
        <c:axId val="67510321"/>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203516"/>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Selected country: people recorded</a:t>
            </a:r>
          </a:p>
        </c:rich>
      </c:tx>
      <c:overlay val="0"/>
      <c:spPr>
        <a:noFill/>
        <a:ln w="0">
          <a:noFill/>
        </a:ln>
      </c:spPr>
    </c:title>
    <c:autoTitleDeleted val="0"/>
    <c:plotArea>
      <c:lineChart>
        <c:grouping val="standard"/>
        <c:varyColors val="0"/>
        <c:ser>
          <c:idx val="0"/>
          <c:order val="0"/>
          <c:tx>
            <c:strRef>
              <c:f>Explorer!K9</c:f>
              <c:strCache>
                <c:ptCount val="1"/>
                <c:pt idx="0">
                  <c:v>People</c:v>
                </c:pt>
              </c:strCache>
            </c:strRef>
          </c:tx>
          <c:spPr>
            <a:solidFill>
              <a:srgbClr val="2a78d6"/>
            </a:solidFill>
            <a:ln w="28080">
              <a:solidFill>
                <a:srgbClr val="2a78d6"/>
              </a:solidFill>
              <a:round/>
            </a:ln>
          </c:spPr>
          <c:marker>
            <c:symbol val="circle"/>
            <c:size val="7"/>
            <c:spPr>
              <a:solidFill>
                <a:srgbClr val="2a78d6"/>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Explorer!$J$10:$J$15</c:f>
              <c:strCache>
                <c:ptCount val="6"/>
                <c:pt idx="0">
                  <c:v>2020</c:v>
                </c:pt>
                <c:pt idx="1">
                  <c:v>2021</c:v>
                </c:pt>
                <c:pt idx="2">
                  <c:v>2022</c:v>
                </c:pt>
                <c:pt idx="3">
                  <c:v>2023</c:v>
                </c:pt>
                <c:pt idx="4">
                  <c:v>2024</c:v>
                </c:pt>
                <c:pt idx="5">
                  <c:v>2025</c:v>
                </c:pt>
              </c:strCache>
            </c:strRef>
          </c:cat>
          <c:val>
            <c:numRef>
              <c:f>Explorer!$K$10:$K$15</c:f>
              <c:numCache>
                <c:formatCode>#,##0</c:formatCode>
                <c:ptCount val="6"/>
                <c:pt idx="0">
                  <c:v>1749895</c:v>
                </c:pt>
                <c:pt idx="1">
                  <c:v>1872472</c:v>
                </c:pt>
                <c:pt idx="2">
                  <c:v>2477588</c:v>
                </c:pt>
                <c:pt idx="3">
                  <c:v>2875743</c:v>
                </c:pt>
                <c:pt idx="4">
                  <c:v>2808968</c:v>
                </c:pt>
                <c:pt idx="5">
                  <c:v>2828195</c:v>
                </c:pt>
              </c:numCache>
            </c:numRef>
          </c:val>
          <c:smooth val="1"/>
        </c:ser>
        <c:hiLowLines>
          <c:spPr>
            <a:ln w="0">
              <a:noFill/>
            </a:ln>
          </c:spPr>
        </c:hiLowLines>
        <c:marker val="1"/>
        <c:axId val="79695810"/>
        <c:axId val="12238999"/>
      </c:lineChart>
      <c:catAx>
        <c:axId val="79695810"/>
        <c:scaling>
          <c:orientation val="minMax"/>
        </c:scaling>
        <c:delete val="0"/>
        <c:axPos val="b"/>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2238999"/>
        <c:crosses val="autoZero"/>
        <c:auto val="1"/>
        <c:lblAlgn val="ctr"/>
        <c:lblOffset val="100"/>
        <c:noMultiLvlLbl val="0"/>
      </c:catAx>
      <c:valAx>
        <c:axId val="12238999"/>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9695810"/>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Age and sex (selected year)</a:t>
            </a:r>
          </a:p>
        </c:rich>
      </c:tx>
      <c:overlay val="0"/>
      <c:spPr>
        <a:noFill/>
        <a:ln w="0">
          <a:noFill/>
        </a:ln>
      </c:spPr>
    </c:title>
    <c:autoTitleDeleted val="0"/>
    <c:plotArea>
      <c:barChart>
        <c:barDir val="col"/>
        <c:grouping val="clustered"/>
        <c:varyColors val="0"/>
        <c:ser>
          <c:idx val="0"/>
          <c:order val="0"/>
          <c:tx>
            <c:strRef>
              <c:f>Explorer!K23</c:f>
              <c:strCache>
                <c:ptCount val="1"/>
                <c:pt idx="0">
                  <c:v>Female</c:v>
                </c:pt>
              </c:strCache>
            </c:strRef>
          </c:tx>
          <c:spPr>
            <a:solidFill>
              <a:srgbClr val="2a78d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Explorer!$J$24:$J$28</c:f>
              <c:strCache>
                <c:ptCount val="5"/>
                <c:pt idx="0">
                  <c:v>0-4</c:v>
                </c:pt>
                <c:pt idx="1">
                  <c:v>5-17</c:v>
                </c:pt>
                <c:pt idx="2">
                  <c:v>18-59</c:v>
                </c:pt>
                <c:pt idx="3">
                  <c:v>60+</c:v>
                </c:pt>
                <c:pt idx="4">
                  <c:v>Age unknown</c:v>
                </c:pt>
              </c:strCache>
            </c:strRef>
          </c:cat>
          <c:val>
            <c:numRef>
              <c:f>Explorer!$K$24:$K$28</c:f>
              <c:numCache>
                <c:formatCode>#,##0</c:formatCode>
                <c:ptCount val="5"/>
                <c:pt idx="0">
                  <c:v>43865</c:v>
                </c:pt>
                <c:pt idx="1">
                  <c:v>391921</c:v>
                </c:pt>
                <c:pt idx="2">
                  <c:v>1017787</c:v>
                </c:pt>
                <c:pt idx="3">
                  <c:v>44480</c:v>
                </c:pt>
                <c:pt idx="4">
                  <c:v>88</c:v>
                </c:pt>
              </c:numCache>
            </c:numRef>
          </c:val>
        </c:ser>
        <c:ser>
          <c:idx val="1"/>
          <c:order val="1"/>
          <c:tx>
            <c:strRef>
              <c:f>Explorer!L23</c:f>
              <c:strCache>
                <c:ptCount val="1"/>
                <c:pt idx="0">
                  <c:v>Male</c:v>
                </c:pt>
              </c:strCache>
            </c:strRef>
          </c:tx>
          <c:spPr>
            <a:solidFill>
              <a:srgbClr val="eb6834"/>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Explorer!$J$24:$J$28</c:f>
              <c:strCache>
                <c:ptCount val="5"/>
                <c:pt idx="0">
                  <c:v>0-4</c:v>
                </c:pt>
                <c:pt idx="1">
                  <c:v>5-17</c:v>
                </c:pt>
                <c:pt idx="2">
                  <c:v>18-59</c:v>
                </c:pt>
                <c:pt idx="3">
                  <c:v>60+</c:v>
                </c:pt>
                <c:pt idx="4">
                  <c:v>Age unknown</c:v>
                </c:pt>
              </c:strCache>
            </c:strRef>
          </c:cat>
          <c:val>
            <c:numRef>
              <c:f>Explorer!$L$24:$L$28</c:f>
              <c:numCache>
                <c:formatCode>#,##0</c:formatCode>
                <c:ptCount val="5"/>
                <c:pt idx="0">
                  <c:v>43682</c:v>
                </c:pt>
                <c:pt idx="1">
                  <c:v>417605</c:v>
                </c:pt>
                <c:pt idx="2">
                  <c:v>840528</c:v>
                </c:pt>
                <c:pt idx="3">
                  <c:v>27055</c:v>
                </c:pt>
                <c:pt idx="4">
                  <c:v>87</c:v>
                </c:pt>
              </c:numCache>
            </c:numRef>
          </c:val>
        </c:ser>
        <c:gapWidth val="150"/>
        <c:overlap val="0"/>
        <c:axId val="76147765"/>
        <c:axId val="14982664"/>
      </c:barChart>
      <c:catAx>
        <c:axId val="76147765"/>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4982664"/>
        <c:crosses val="autoZero"/>
        <c:auto val="1"/>
        <c:lblAlgn val="ctr"/>
        <c:lblOffset val="100"/>
        <c:noMultiLvlLbl val="0"/>
      </c:catAx>
      <c:valAx>
        <c:axId val="1498266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614776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Age and sex (selected year and scope)</a:t>
            </a:r>
          </a:p>
        </c:rich>
      </c:tx>
      <c:overlay val="0"/>
      <c:spPr>
        <a:noFill/>
        <a:ln w="0">
          <a:noFill/>
        </a:ln>
      </c:spPr>
    </c:title>
    <c:autoTitleDeleted val="0"/>
    <c:plotArea>
      <c:barChart>
        <c:barDir val="col"/>
        <c:grouping val="clustered"/>
        <c:varyColors val="0"/>
        <c:ser>
          <c:idx val="0"/>
          <c:order val="0"/>
          <c:tx>
            <c:strRef>
              <c:f>Demographics!C9</c:f>
              <c:strCache>
                <c:ptCount val="1"/>
                <c:pt idx="0">
                  <c:v>Female</c:v>
                </c:pt>
              </c:strCache>
            </c:strRef>
          </c:tx>
          <c:spPr>
            <a:solidFill>
              <a:srgbClr val="2a78d6"/>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Demographics!$B$10:$B$14</c:f>
              <c:strCache>
                <c:ptCount val="5"/>
                <c:pt idx="0">
                  <c:v>0-4</c:v>
                </c:pt>
                <c:pt idx="1">
                  <c:v>5-17</c:v>
                </c:pt>
                <c:pt idx="2">
                  <c:v>18-59</c:v>
                </c:pt>
                <c:pt idx="3">
                  <c:v>60+</c:v>
                </c:pt>
                <c:pt idx="4">
                  <c:v>Age unknown</c:v>
                </c:pt>
              </c:strCache>
            </c:strRef>
          </c:cat>
          <c:val>
            <c:numRef>
              <c:f>Demographics!$C$10:$C$14</c:f>
              <c:numCache>
                <c:formatCode>#,##0</c:formatCode>
                <c:ptCount val="5"/>
                <c:pt idx="0">
                  <c:v>120422</c:v>
                </c:pt>
                <c:pt idx="1">
                  <c:v>694487</c:v>
                </c:pt>
                <c:pt idx="2">
                  <c:v>2085883</c:v>
                </c:pt>
                <c:pt idx="3">
                  <c:v>131559</c:v>
                </c:pt>
                <c:pt idx="4">
                  <c:v>15177</c:v>
                </c:pt>
              </c:numCache>
            </c:numRef>
          </c:val>
        </c:ser>
        <c:ser>
          <c:idx val="1"/>
          <c:order val="1"/>
          <c:tx>
            <c:strRef>
              <c:f>Demographics!D9</c:f>
              <c:strCache>
                <c:ptCount val="1"/>
                <c:pt idx="0">
                  <c:v>Male</c:v>
                </c:pt>
              </c:strCache>
            </c:strRef>
          </c:tx>
          <c:spPr>
            <a:solidFill>
              <a:srgbClr val="eb6834"/>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Demographics!$B$10:$B$14</c:f>
              <c:strCache>
                <c:ptCount val="5"/>
                <c:pt idx="0">
                  <c:v>0-4</c:v>
                </c:pt>
                <c:pt idx="1">
                  <c:v>5-17</c:v>
                </c:pt>
                <c:pt idx="2">
                  <c:v>18-59</c:v>
                </c:pt>
                <c:pt idx="3">
                  <c:v>60+</c:v>
                </c:pt>
                <c:pt idx="4">
                  <c:v>Age unknown</c:v>
                </c:pt>
              </c:strCache>
            </c:strRef>
          </c:cat>
          <c:val>
            <c:numRef>
              <c:f>Demographics!$D$10:$D$14</c:f>
              <c:numCache>
                <c:formatCode>#,##0</c:formatCode>
                <c:ptCount val="5"/>
                <c:pt idx="0">
                  <c:v>123079</c:v>
                </c:pt>
                <c:pt idx="1">
                  <c:v>730924</c:v>
                </c:pt>
                <c:pt idx="2">
                  <c:v>1860389</c:v>
                </c:pt>
                <c:pt idx="3">
                  <c:v>74656</c:v>
                </c:pt>
                <c:pt idx="4">
                  <c:v>38355</c:v>
                </c:pt>
              </c:numCache>
            </c:numRef>
          </c:val>
        </c:ser>
        <c:gapWidth val="150"/>
        <c:overlap val="0"/>
        <c:axId val="17744541"/>
        <c:axId val="92014109"/>
      </c:barChart>
      <c:catAx>
        <c:axId val="17744541"/>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2014109"/>
        <c:crosses val="autoZero"/>
        <c:auto val="1"/>
        <c:lblAlgn val="ctr"/>
        <c:lblOffset val="100"/>
        <c:noMultiLvlLbl val="0"/>
      </c:catAx>
      <c:valAx>
        <c:axId val="92014109"/>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7744541"/>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_rels/drawing2.xml.rels><?xml version="1.0" encoding="UTF-8"?>
<Relationships xmlns="http://schemas.openxmlformats.org/package/2006/relationships"><Relationship Id="rId1" Type="http://schemas.openxmlformats.org/officeDocument/2006/relationships/chart" Target="../charts/chart3.xml"/><Relationship Id="rId2" Type="http://schemas.openxmlformats.org/officeDocument/2006/relationships/chart" Target="../charts/chart4.xml"/><Relationship Id="rId3" Type="http://schemas.openxmlformats.org/officeDocument/2006/relationships/chart" Target="../charts/chart5.xml"/>
</Relationships>
</file>

<file path=xl/drawings/_rels/drawing3.xml.rels><?xml version="1.0" encoding="UTF-8"?>
<Relationships xmlns="http://schemas.openxmlformats.org/package/2006/relationships"><Relationship Id="rId1" Type="http://schemas.openxmlformats.org/officeDocument/2006/relationships/chart" Target="../charts/chart6.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11</xdr:col>
      <xdr:colOff>0</xdr:colOff>
      <xdr:row>2</xdr:row>
      <xdr:rowOff>131040</xdr:rowOff>
    </xdr:from>
    <xdr:to>
      <xdr:col>22</xdr:col>
      <xdr:colOff>113040</xdr:colOff>
      <xdr:row>18</xdr:row>
      <xdr:rowOff>83520</xdr:rowOff>
    </xdr:to>
    <xdr:graphicFrame>
      <xdr:nvGraphicFramePr>
        <xdr:cNvPr id="0" name="Chart 1"/>
        <xdr:cNvGraphicFramePr/>
      </xdr:nvGraphicFramePr>
      <xdr:xfrm>
        <a:off x="12593880" y="571680"/>
        <a:ext cx="6839640" cy="34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0</xdr:colOff>
      <xdr:row>22</xdr:row>
      <xdr:rowOff>130680</xdr:rowOff>
    </xdr:from>
    <xdr:to>
      <xdr:col>22</xdr:col>
      <xdr:colOff>113040</xdr:colOff>
      <xdr:row>40</xdr:row>
      <xdr:rowOff>35640</xdr:rowOff>
    </xdr:to>
    <xdr:graphicFrame>
      <xdr:nvGraphicFramePr>
        <xdr:cNvPr id="1" name="Chart 2"/>
        <xdr:cNvGraphicFramePr/>
      </xdr:nvGraphicFramePr>
      <xdr:xfrm>
        <a:off x="12593880" y="4800600"/>
        <a:ext cx="6839640" cy="341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26</xdr:row>
      <xdr:rowOff>18360</xdr:rowOff>
    </xdr:from>
    <xdr:to>
      <xdr:col>6</xdr:col>
      <xdr:colOff>57960</xdr:colOff>
      <xdr:row>46</xdr:row>
      <xdr:rowOff>168120</xdr:rowOff>
    </xdr:to>
    <xdr:graphicFrame>
      <xdr:nvGraphicFramePr>
        <xdr:cNvPr id="2" name="Chart 1"/>
        <xdr:cNvGraphicFramePr/>
      </xdr:nvGraphicFramePr>
      <xdr:xfrm>
        <a:off x="211320" y="5334120"/>
        <a:ext cx="6119640" cy="39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0</xdr:colOff>
      <xdr:row>31</xdr:row>
      <xdr:rowOff>18720</xdr:rowOff>
    </xdr:from>
    <xdr:to>
      <xdr:col>13</xdr:col>
      <xdr:colOff>1092600</xdr:colOff>
      <xdr:row>45</xdr:row>
      <xdr:rowOff>51120</xdr:rowOff>
    </xdr:to>
    <xdr:graphicFrame>
      <xdr:nvGraphicFramePr>
        <xdr:cNvPr id="3" name="Chart 2"/>
        <xdr:cNvGraphicFramePr/>
      </xdr:nvGraphicFramePr>
      <xdr:xfrm>
        <a:off x="7753320" y="6286680"/>
        <a:ext cx="5039640" cy="269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0</xdr:colOff>
      <xdr:row>47</xdr:row>
      <xdr:rowOff>18360</xdr:rowOff>
    </xdr:from>
    <xdr:to>
      <xdr:col>13</xdr:col>
      <xdr:colOff>1092600</xdr:colOff>
      <xdr:row>61</xdr:row>
      <xdr:rowOff>51120</xdr:rowOff>
    </xdr:to>
    <xdr:graphicFrame>
      <xdr:nvGraphicFramePr>
        <xdr:cNvPr id="4" name="Chart 3"/>
        <xdr:cNvGraphicFramePr/>
      </xdr:nvGraphicFramePr>
      <xdr:xfrm>
        <a:off x="7753320" y="9334440"/>
        <a:ext cx="5039640" cy="269964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2</xdr:row>
      <xdr:rowOff>131040</xdr:rowOff>
    </xdr:from>
    <xdr:to>
      <xdr:col>17</xdr:col>
      <xdr:colOff>507600</xdr:colOff>
      <xdr:row>16</xdr:row>
      <xdr:rowOff>153000</xdr:rowOff>
    </xdr:to>
    <xdr:graphicFrame>
      <xdr:nvGraphicFramePr>
        <xdr:cNvPr id="5" name="Chart 1"/>
        <xdr:cNvGraphicFramePr/>
      </xdr:nvGraphicFramePr>
      <xdr:xfrm>
        <a:off x="10690920" y="571680"/>
        <a:ext cx="5399640" cy="287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file>

<file path=xl/drawings/drawing5.xml><?xml version="1.0" encoding="utf-8"?>
<xdr:wsDr xmlns:xdr="http://schemas.openxmlformats.org/drawingml/2006/spreadsheetDrawing" xmlns:a="http://schemas.openxmlformats.org/drawingml/2006/main" xmlns:r="http://schemas.openxmlformats.org/officeDocument/2006/relationships"/>
</file>

<file path=xl/tables/table1.xml><?xml version="1.0" encoding="utf-8"?>
<table xmlns="http://schemas.openxmlformats.org/spreadsheetml/2006/main" id="1" name="tblVEN" displayName="tblVEN" ref="A1:Y351" headerRowCount="1" totalsRowCount="0" totalsRowShown="0">
  <autoFilter ref="A1:Y351"/>
  <tableColumns count="25">
    <tableColumn id="1" name="Year"/>
    <tableColumn id="2" name="Country of asylum"/>
    <tableColumn id="3" name="ISO"/>
    <tableColumn id="4" name="Region"/>
    <tableColumn id="5" name="Subregion"/>
    <tableColumn id="6" name="In Latin America &amp; Caribbean?"/>
    <tableColumn id="7" name="Scope"/>
    <tableColumn id="8" name="Female 0-4"/>
    <tableColumn id="9" name="Female 5-11"/>
    <tableColumn id="10" name="Female 12-17"/>
    <tableColumn id="11" name="Female 18-59"/>
    <tableColumn id="12" name="Female 60+"/>
    <tableColumn id="13" name="Female Age unknown"/>
    <tableColumn id="14" name="Female total"/>
    <tableColumn id="15" name="Male 0-4"/>
    <tableColumn id="16" name="Male 5-11"/>
    <tableColumn id="17" name="Male 12-17"/>
    <tableColumn id="18" name="Male 18-59"/>
    <tableColumn id="19" name="Male 60+"/>
    <tableColumn id="20" name="Male Age unknown"/>
    <tableColumn id="21" name="Male total"/>
    <tableColumn id="22" name="Total"/>
    <tableColumn id="23" name="Sex-disaggregated (F+M)"/>
    <tableColumn id="24" name="Disaggregation coverage"/>
    <tableColumn id="25" name="Data note"/>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4.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table" Target="../tables/table1.xml"/>
</Relationships>
</file>

<file path=xl/worksheets/_rels/sheet10.xml.rels><?xml version="1.0" encoding="UTF-8"?>
<Relationships xmlns="http://schemas.openxmlformats.org/package/2006/relationships"><Relationship Id="rId1"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A44"/>
    <pageSetUpPr fitToPage="false"/>
  </sheetPr>
  <dimension ref="A1:B2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20"/>
  </cols>
  <sheetData>
    <row r="1" customFormat="false" ht="19.7" hidden="false" customHeight="false" outlineLevel="0" collapsed="false">
      <c r="A1" s="1" t="s">
        <v>0</v>
      </c>
    </row>
    <row r="3" customFormat="false" ht="30" hidden="false" customHeight="true" outlineLevel="0" collapsed="false">
      <c r="A3" s="2" t="s">
        <v>1</v>
      </c>
      <c r="B3" s="3" t="s">
        <v>2</v>
      </c>
    </row>
    <row r="4" customFormat="false" ht="30" hidden="false" customHeight="true" outlineLevel="0" collapsed="false">
      <c r="A4" s="2" t="s">
        <v>3</v>
      </c>
      <c r="B4" s="3" t="s">
        <v>4</v>
      </c>
    </row>
    <row r="5" customFormat="false" ht="15.75" hidden="false" customHeight="true" outlineLevel="0" collapsed="false">
      <c r="A5" s="2" t="s">
        <v>5</v>
      </c>
      <c r="B5" s="3" t="s">
        <v>6</v>
      </c>
    </row>
    <row r="6" customFormat="false" ht="30" hidden="false" customHeight="true" outlineLevel="0" collapsed="false">
      <c r="A6" s="2" t="s">
        <v>7</v>
      </c>
      <c r="B6" s="3" t="s">
        <v>8</v>
      </c>
    </row>
    <row r="7" customFormat="false" ht="15.75" hidden="false" customHeight="true" outlineLevel="0" collapsed="false">
      <c r="A7" s="2"/>
      <c r="B7" s="3"/>
    </row>
    <row r="8" customFormat="false" ht="15.75" hidden="false" customHeight="true" outlineLevel="0" collapsed="false">
      <c r="A8" s="4" t="s">
        <v>9</v>
      </c>
      <c r="B8" s="5" t="s">
        <v>10</v>
      </c>
    </row>
    <row r="9" customFormat="false" ht="15.75" hidden="false" customHeight="true" outlineLevel="0" collapsed="false">
      <c r="A9" s="2" t="s">
        <v>11</v>
      </c>
      <c r="B9" s="3" t="s">
        <v>12</v>
      </c>
    </row>
    <row r="10" customFormat="false" ht="15.75" hidden="false" customHeight="true" outlineLevel="0" collapsed="false">
      <c r="A10" s="2" t="s">
        <v>13</v>
      </c>
      <c r="B10" s="3" t="s">
        <v>14</v>
      </c>
    </row>
    <row r="11" customFormat="false" ht="15.75" hidden="false" customHeight="true" outlineLevel="0" collapsed="false">
      <c r="A11" s="2" t="s">
        <v>15</v>
      </c>
      <c r="B11" s="3" t="s">
        <v>16</v>
      </c>
    </row>
    <row r="12" customFormat="false" ht="15.75" hidden="false" customHeight="true" outlineLevel="0" collapsed="false">
      <c r="A12" s="2" t="s">
        <v>17</v>
      </c>
      <c r="B12" s="3" t="s">
        <v>18</v>
      </c>
    </row>
    <row r="13" customFormat="false" ht="15.75" hidden="false" customHeight="true" outlineLevel="0" collapsed="false">
      <c r="A13" s="2" t="s">
        <v>19</v>
      </c>
      <c r="B13" s="3" t="s">
        <v>20</v>
      </c>
    </row>
    <row r="14" customFormat="false" ht="30" hidden="false" customHeight="true" outlineLevel="0" collapsed="false">
      <c r="A14" s="2" t="s">
        <v>21</v>
      </c>
      <c r="B14" s="3" t="s">
        <v>22</v>
      </c>
    </row>
    <row r="15" customFormat="false" ht="15.75" hidden="false" customHeight="true" outlineLevel="0" collapsed="false">
      <c r="A15" s="2" t="s">
        <v>23</v>
      </c>
      <c r="B15" s="3" t="s">
        <v>24</v>
      </c>
    </row>
    <row r="16" customFormat="false" ht="15.75" hidden="false" customHeight="true" outlineLevel="0" collapsed="false">
      <c r="A16" s="2" t="s">
        <v>25</v>
      </c>
      <c r="B16" s="3" t="s">
        <v>26</v>
      </c>
    </row>
    <row r="17" customFormat="false" ht="15.75" hidden="false" customHeight="true" outlineLevel="0" collapsed="false">
      <c r="A17" s="2" t="s">
        <v>27</v>
      </c>
      <c r="B17" s="3" t="s">
        <v>28</v>
      </c>
    </row>
    <row r="18" customFormat="false" ht="15.75" hidden="false" customHeight="true" outlineLevel="0" collapsed="false">
      <c r="A18" s="2"/>
      <c r="B18" s="3"/>
    </row>
    <row r="19" customFormat="false" ht="15.75" hidden="false" customHeight="true" outlineLevel="0" collapsed="false">
      <c r="A19" s="2" t="s">
        <v>29</v>
      </c>
      <c r="B19" s="3" t="s">
        <v>30</v>
      </c>
    </row>
    <row r="20" customFormat="false" ht="30" hidden="false" customHeight="true" outlineLevel="0" collapsed="false">
      <c r="A20" s="2" t="s">
        <v>31</v>
      </c>
      <c r="B20" s="3" t="s">
        <v>32</v>
      </c>
    </row>
    <row r="21" customFormat="false" ht="30" hidden="false" customHeight="true" outlineLevel="0" collapsed="false">
      <c r="A21" s="2" t="s">
        <v>33</v>
      </c>
      <c r="B21" s="3" t="s">
        <v>34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2A44"/>
    <pageSetUpPr fitToPage="false"/>
  </sheetPr>
  <dimension ref="A1:D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4" min="2" style="0" width="26"/>
  </cols>
  <sheetData>
    <row r="1" customFormat="false" ht="19.7" hidden="false" customHeight="false" outlineLevel="0" collapsed="false">
      <c r="A1" s="1" t="s">
        <v>35</v>
      </c>
    </row>
    <row r="2" customFormat="false" ht="15" hidden="false" customHeight="false" outlineLevel="0" collapsed="false">
      <c r="A2" s="6" t="s">
        <v>36</v>
      </c>
    </row>
    <row r="4" customFormat="false" ht="15" hidden="false" customHeight="false" outlineLevel="0" collapsed="false">
      <c r="A4" s="7" t="s">
        <v>37</v>
      </c>
    </row>
    <row r="5" customFormat="false" ht="15" hidden="false" customHeight="false" outlineLevel="0" collapsed="false">
      <c r="A5" s="8" t="s">
        <v>38</v>
      </c>
      <c r="B5" s="8" t="s">
        <v>39</v>
      </c>
      <c r="C5" s="8" t="s">
        <v>40</v>
      </c>
      <c r="D5" s="8" t="s">
        <v>41</v>
      </c>
    </row>
    <row r="6" customFormat="false" ht="15.75" hidden="false" customHeight="true" outlineLevel="0" collapsed="false">
      <c r="A6" s="9" t="s">
        <v>42</v>
      </c>
      <c r="B6" s="10" t="n">
        <f aca="false">Summary!B13</f>
        <v>4884479</v>
      </c>
      <c r="C6" s="10" t="n">
        <f aca="false">Summary!F13</f>
        <v>7826093</v>
      </c>
      <c r="D6" s="10" t="n">
        <f aca="false">Summary!G13</f>
        <v>7682752</v>
      </c>
    </row>
    <row r="7" customFormat="false" ht="15.75" hidden="false" customHeight="true" outlineLevel="0" collapsed="false">
      <c r="A7" s="9" t="s">
        <v>43</v>
      </c>
      <c r="B7" s="11" t="n">
        <f aca="false">Summary!B30</f>
        <v>0.94780139294283</v>
      </c>
      <c r="C7" s="11" t="n">
        <f aca="false">Summary!F30</f>
        <v>0.884763444543785</v>
      </c>
      <c r="D7" s="11" t="n">
        <f aca="false">Summary!G30</f>
        <v>0.901963124671993</v>
      </c>
    </row>
    <row r="8" customFormat="false" ht="15.75" hidden="false" customHeight="true" outlineLevel="0" collapsed="false">
      <c r="A8" s="9" t="s">
        <v>44</v>
      </c>
      <c r="B8" s="11" t="n">
        <f aca="false">Summary!B18</f>
        <v>0.660388958576749</v>
      </c>
      <c r="C8" s="11" t="n">
        <f aca="false">Summary!F18</f>
        <v>0.631946745330013</v>
      </c>
      <c r="D8" s="11" t="n">
        <f aca="false">Summary!G18</f>
        <v>0.641397900127454</v>
      </c>
    </row>
    <row r="9" customFormat="false" ht="15.75" hidden="false" customHeight="true" outlineLevel="0" collapsed="false">
      <c r="A9" s="9" t="s">
        <v>45</v>
      </c>
      <c r="B9" s="11" t="n">
        <f aca="false">Summary!B19</f>
        <v>0.195380715118235</v>
      </c>
      <c r="C9" s="11" t="n">
        <f aca="false">Summary!F19</f>
        <v>0.175302670182938</v>
      </c>
      <c r="D9" s="11" t="n">
        <f aca="false">Summary!G19</f>
        <v>0.208961189948602</v>
      </c>
    </row>
    <row r="10" customFormat="false" ht="15.75" hidden="false" customHeight="true" outlineLevel="0" collapsed="false">
      <c r="A10" s="9" t="s">
        <v>46</v>
      </c>
      <c r="B10" s="11" t="n">
        <f aca="false">Summary!B22</f>
        <v>0.0310131336422984</v>
      </c>
      <c r="C10" s="11" t="n">
        <f aca="false">Summary!F22</f>
        <v>0.0837021742522099</v>
      </c>
      <c r="D10" s="11" t="n">
        <f aca="false">Summary!G22</f>
        <v>0.0576270065726448</v>
      </c>
    </row>
    <row r="11" customFormat="false" ht="15.75" hidden="false" customHeight="true" outlineLevel="0" collapsed="false">
      <c r="A11" s="9" t="s">
        <v>47</v>
      </c>
      <c r="B11" s="11" t="n">
        <f aca="false">Summary!B23</f>
        <v>0.0210849509231179</v>
      </c>
      <c r="C11" s="11" t="n">
        <f aca="false">Summary!F23</f>
        <v>0.0314856979082666</v>
      </c>
      <c r="D11" s="11" t="n">
        <f aca="false">Summary!G23</f>
        <v>0.0403613184442242</v>
      </c>
    </row>
    <row r="12" customFormat="false" ht="15.75" hidden="false" customHeight="true" outlineLevel="0" collapsed="false">
      <c r="A12" s="9" t="s">
        <v>48</v>
      </c>
      <c r="B12" s="11" t="n">
        <f aca="false">Summary!B32</f>
        <v>0.666844713632713</v>
      </c>
      <c r="C12" s="11" t="n">
        <f aca="false">Summary!F32</f>
        <v>0.654229255900741</v>
      </c>
      <c r="D12" s="11" t="n">
        <f aca="false">Summary!G32</f>
        <v>0.677071445232125</v>
      </c>
    </row>
    <row r="15" customFormat="false" ht="15" hidden="false" customHeight="false" outlineLevel="0" collapsed="false">
      <c r="A15" s="7" t="s">
        <v>49</v>
      </c>
    </row>
    <row r="16" customFormat="false" ht="60" hidden="false" customHeight="true" outlineLevel="0" collapsed="false">
      <c r="A16" s="12" t="s">
        <v>50</v>
      </c>
      <c r="B16" s="13" t="s">
        <v>51</v>
      </c>
      <c r="C16" s="13"/>
      <c r="D16" s="13"/>
    </row>
    <row r="17" customFormat="false" ht="75" hidden="false" customHeight="true" outlineLevel="0" collapsed="false">
      <c r="A17" s="12" t="s">
        <v>52</v>
      </c>
      <c r="B17" s="13" t="s">
        <v>53</v>
      </c>
      <c r="C17" s="13"/>
      <c r="D17" s="13"/>
    </row>
    <row r="18" customFormat="false" ht="60" hidden="false" customHeight="true" outlineLevel="0" collapsed="false">
      <c r="A18" s="12" t="s">
        <v>54</v>
      </c>
      <c r="B18" s="13" t="s">
        <v>55</v>
      </c>
      <c r="C18" s="13"/>
      <c r="D18" s="13"/>
    </row>
    <row r="19" customFormat="false" ht="90" hidden="false" customHeight="true" outlineLevel="0" collapsed="false">
      <c r="A19" s="12" t="s">
        <v>56</v>
      </c>
      <c r="B19" s="13" t="s">
        <v>57</v>
      </c>
      <c r="C19" s="13"/>
      <c r="D19" s="13"/>
    </row>
    <row r="20" customFormat="false" ht="45" hidden="false" customHeight="true" outlineLevel="0" collapsed="false">
      <c r="A20" s="12" t="s">
        <v>58</v>
      </c>
      <c r="B20" s="13" t="s">
        <v>59</v>
      </c>
      <c r="C20" s="13"/>
      <c r="D20" s="13"/>
    </row>
    <row r="21" customFormat="false" ht="75" hidden="false" customHeight="true" outlineLevel="0" collapsed="false">
      <c r="A21" s="12" t="s">
        <v>60</v>
      </c>
      <c r="B21" s="13" t="s">
        <v>61</v>
      </c>
      <c r="C21" s="13"/>
      <c r="D21" s="13"/>
    </row>
    <row r="22" customFormat="false" ht="15" hidden="false" customHeight="false" outlineLevel="0" collapsed="false">
      <c r="A22" s="7" t="s">
        <v>62</v>
      </c>
    </row>
    <row r="23" customFormat="false" ht="45" hidden="false" customHeight="true" outlineLevel="0" collapsed="false">
      <c r="A23" s="12" t="s">
        <v>63</v>
      </c>
      <c r="B23" s="13" t="s">
        <v>64</v>
      </c>
      <c r="C23" s="13"/>
      <c r="D23" s="13"/>
    </row>
    <row r="24" customFormat="false" ht="30" hidden="false" customHeight="true" outlineLevel="0" collapsed="false">
      <c r="A24" s="12" t="s">
        <v>65</v>
      </c>
      <c r="B24" s="13" t="s">
        <v>66</v>
      </c>
      <c r="C24" s="13"/>
      <c r="D24" s="13"/>
    </row>
    <row r="25" customFormat="false" ht="45" hidden="false" customHeight="true" outlineLevel="0" collapsed="false">
      <c r="A25" s="12" t="s">
        <v>67</v>
      </c>
      <c r="B25" s="13" t="s">
        <v>68</v>
      </c>
      <c r="C25" s="13"/>
      <c r="D25" s="13"/>
    </row>
    <row r="26" customFormat="false" ht="15" hidden="false" customHeight="false" outlineLevel="0" collapsed="false">
      <c r="A26" s="7" t="s">
        <v>69</v>
      </c>
    </row>
    <row r="27" customFormat="false" ht="90" hidden="false" customHeight="true" outlineLevel="0" collapsed="false">
      <c r="A27" s="12" t="s">
        <v>70</v>
      </c>
      <c r="B27" s="13" t="s">
        <v>71</v>
      </c>
      <c r="C27" s="13"/>
      <c r="D27" s="13"/>
    </row>
  </sheetData>
  <mergeCells count="10">
    <mergeCell ref="B16:D16"/>
    <mergeCell ref="B17:D17"/>
    <mergeCell ref="B18:D18"/>
    <mergeCell ref="B19:D19"/>
    <mergeCell ref="B20:D20"/>
    <mergeCell ref="B21:D21"/>
    <mergeCell ref="B23:D23"/>
    <mergeCell ref="B24:D24"/>
    <mergeCell ref="B25:D25"/>
    <mergeCell ref="B27:D2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B6834"/>
    <pageSetUpPr fitToPage="false"/>
  </sheetPr>
  <dimension ref="A1:J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7" min="2" style="0" width="13"/>
    <col collapsed="false" customWidth="true" hidden="false" outlineLevel="0" max="10" min="8" style="0" width="16"/>
  </cols>
  <sheetData>
    <row r="1" customFormat="false" ht="19.7" hidden="false" customHeight="false" outlineLevel="0" collapsed="false">
      <c r="A1" s="1" t="s">
        <v>72</v>
      </c>
    </row>
    <row r="2" customFormat="false" ht="15" hidden="false" customHeight="false" outlineLevel="0" collapsed="false">
      <c r="A2" s="6" t="s">
        <v>73</v>
      </c>
    </row>
    <row r="4" customFormat="false" ht="15" hidden="false" customHeight="false" outlineLevel="0" collapsed="false">
      <c r="A4" s="7" t="s">
        <v>74</v>
      </c>
    </row>
    <row r="5" customFormat="false" ht="31.5" hidden="false" customHeight="true" outlineLevel="0" collapsed="false">
      <c r="A5" s="8" t="s">
        <v>75</v>
      </c>
      <c r="B5" s="14" t="n">
        <v>2020</v>
      </c>
      <c r="C5" s="14" t="n">
        <v>2021</v>
      </c>
      <c r="D5" s="14" t="n">
        <v>2022</v>
      </c>
      <c r="E5" s="14" t="n">
        <v>2023</v>
      </c>
      <c r="F5" s="14" t="n">
        <v>2024</v>
      </c>
      <c r="G5" s="14" t="n">
        <v>2025</v>
      </c>
      <c r="H5" s="8" t="s">
        <v>76</v>
      </c>
      <c r="I5" s="8" t="s">
        <v>77</v>
      </c>
      <c r="J5" s="8" t="s">
        <v>78</v>
      </c>
    </row>
    <row r="6" customFormat="false" ht="15" hidden="false" customHeight="false" outlineLevel="0" collapsed="false">
      <c r="A6" s="9" t="s">
        <v>79</v>
      </c>
      <c r="B6" s="15" t="n">
        <f aca="false">SUMIFS(Countries!$E$4:$E$73,Countries!$D$4:$D$73,$A6)</f>
        <v>3225656</v>
      </c>
      <c r="C6" s="15" t="n">
        <f aca="false">SUMIFS(Countries!$F$4:$F$73,Countries!$D$4:$D$73,$A6)</f>
        <v>3720840</v>
      </c>
      <c r="D6" s="15" t="n">
        <f aca="false">SUMIFS(Countries!$G$4:$G$73,Countries!$D$4:$D$73,$A6)</f>
        <v>4499944</v>
      </c>
      <c r="E6" s="15" t="n">
        <f aca="false">SUMIFS(Countries!$H$4:$H$73,Countries!$D$4:$D$73,$A6)</f>
        <v>4909042</v>
      </c>
      <c r="F6" s="15" t="n">
        <f aca="false">SUMIFS(Countries!$I$4:$I$73,Countries!$D$4:$D$73,$A6)</f>
        <v>4945674</v>
      </c>
      <c r="G6" s="15" t="n">
        <f aca="false">SUMIFS(Countries!$J$4:$J$73,Countries!$D$4:$D$73,$A6)</f>
        <v>4927701</v>
      </c>
      <c r="H6" s="15" t="n">
        <f aca="false">G6-B6</f>
        <v>1702045</v>
      </c>
      <c r="I6" s="16" t="n">
        <f aca="false">IF(B6&gt;0,H6/B6,"")</f>
        <v>0.527658559995238</v>
      </c>
      <c r="J6" s="17" t="n">
        <f aca="false">IF(B6&gt;0,(G6/B6)^(1/5)-1,"")</f>
        <v>0.0884419195839752</v>
      </c>
    </row>
    <row r="7" customFormat="false" ht="15" hidden="false" customHeight="false" outlineLevel="0" collapsed="false">
      <c r="A7" s="9" t="s">
        <v>80</v>
      </c>
      <c r="B7" s="15" t="n">
        <f aca="false">SUMIFS(Countries!$E$4:$E$73,Countries!$D$4:$D$73,$A7)</f>
        <v>954333</v>
      </c>
      <c r="C7" s="15" t="n">
        <f aca="false">SUMIFS(Countries!$F$4:$F$73,Countries!$D$4:$D$73,$A7)</f>
        <v>1009420</v>
      </c>
      <c r="D7" s="15" t="n">
        <f aca="false">SUMIFS(Countries!$G$4:$G$73,Countries!$D$4:$D$73,$A7)</f>
        <v>1062238</v>
      </c>
      <c r="E7" s="15" t="n">
        <f aca="false">SUMIFS(Countries!$H$4:$H$73,Countries!$D$4:$D$73,$A7)</f>
        <v>1210997</v>
      </c>
      <c r="F7" s="15" t="n">
        <f aca="false">SUMIFS(Countries!$I$4:$I$73,Countries!$D$4:$D$73,$A7)</f>
        <v>1371935</v>
      </c>
      <c r="G7" s="15" t="n">
        <f aca="false">SUMIFS(Countries!$J$4:$J$73,Countries!$D$4:$D$73,$A7)</f>
        <v>1605397</v>
      </c>
      <c r="H7" s="15" t="n">
        <f aca="false">G7-B7</f>
        <v>651064</v>
      </c>
      <c r="I7" s="16" t="n">
        <f aca="false">IF(B7&gt;0,H7/B7,"")</f>
        <v>0.682218890052005</v>
      </c>
      <c r="J7" s="17" t="n">
        <f aca="false">IF(B7&gt;0,(G7/B7)^(1/5)-1,"")</f>
        <v>0.109625685265744</v>
      </c>
    </row>
    <row r="8" customFormat="false" ht="15" hidden="false" customHeight="false" outlineLevel="0" collapsed="false">
      <c r="A8" s="9" t="s">
        <v>81</v>
      </c>
      <c r="B8" s="15" t="n">
        <f aca="false">SUMIFS(Countries!$E$4:$E$73,Countries!$D$4:$D$73,$A8)</f>
        <v>253041</v>
      </c>
      <c r="C8" s="15" t="n">
        <f aca="false">SUMIFS(Countries!$F$4:$F$73,Countries!$D$4:$D$73,$A8)</f>
        <v>251717</v>
      </c>
      <c r="D8" s="15" t="n">
        <f aca="false">SUMIFS(Countries!$G$4:$G$73,Countries!$D$4:$D$73,$A8)</f>
        <v>450315</v>
      </c>
      <c r="E8" s="15" t="n">
        <f aca="false">SUMIFS(Countries!$H$4:$H$73,Countries!$D$4:$D$73,$A8)</f>
        <v>290438</v>
      </c>
      <c r="F8" s="15" t="n">
        <f aca="false">SUMIFS(Countries!$I$4:$I$73,Countries!$D$4:$D$73,$A8)</f>
        <v>404426</v>
      </c>
      <c r="G8" s="15" t="n">
        <f aca="false">SUMIFS(Countries!$J$4:$J$73,Countries!$D$4:$D$73,$A8)</f>
        <v>227881</v>
      </c>
      <c r="H8" s="15" t="n">
        <f aca="false">G8-B8</f>
        <v>-25160</v>
      </c>
      <c r="I8" s="16" t="n">
        <f aca="false">IF(B8&gt;0,H8/B8,"")</f>
        <v>-0.0994305270687359</v>
      </c>
      <c r="J8" s="17" t="n">
        <f aca="false">IF(B8&gt;0,(G8/B8)^(1/5)-1,"")</f>
        <v>-0.0207277582137018</v>
      </c>
    </row>
    <row r="9" customFormat="false" ht="15" hidden="false" customHeight="false" outlineLevel="0" collapsed="false">
      <c r="A9" s="9" t="s">
        <v>82</v>
      </c>
      <c r="B9" s="15" t="n">
        <f aca="false">SUMIFS(Countries!$E$4:$E$73,Countries!$D$4:$D$73,$A9)</f>
        <v>196486</v>
      </c>
      <c r="C9" s="15" t="n">
        <f aca="false">SUMIFS(Countries!$F$4:$F$73,Countries!$D$4:$D$73,$A9)</f>
        <v>206896</v>
      </c>
      <c r="D9" s="15" t="n">
        <f aca="false">SUMIFS(Countries!$G$4:$G$73,Countries!$D$4:$D$73,$A9)</f>
        <v>202393</v>
      </c>
      <c r="E9" s="15" t="n">
        <f aca="false">SUMIFS(Countries!$H$4:$H$73,Countries!$D$4:$D$73,$A9)</f>
        <v>213846</v>
      </c>
      <c r="F9" s="15" t="n">
        <f aca="false">SUMIFS(Countries!$I$4:$I$73,Countries!$D$4:$D$73,$A9)</f>
        <v>202206</v>
      </c>
      <c r="G9" s="15" t="n">
        <f aca="false">SUMIFS(Countries!$J$4:$J$73,Countries!$D$4:$D$73,$A9)</f>
        <v>168580</v>
      </c>
      <c r="H9" s="15" t="n">
        <f aca="false">G9-B9</f>
        <v>-27906</v>
      </c>
      <c r="I9" s="16" t="n">
        <f aca="false">IF(B9&gt;0,H9/B9,"")</f>
        <v>-0.142025386032593</v>
      </c>
      <c r="J9" s="17" t="n">
        <f aca="false">IF(B9&gt;0,(G9/B9)^(1/5)-1,"")</f>
        <v>-0.0301716224276331</v>
      </c>
    </row>
    <row r="10" customFormat="false" ht="15" hidden="false" customHeight="false" outlineLevel="0" collapsed="false">
      <c r="A10" s="9" t="s">
        <v>83</v>
      </c>
      <c r="B10" s="15" t="n">
        <f aca="false">SUMIFS(Countries!$E$4:$E$73,Countries!$D$4:$D$73,$A10)</f>
        <v>151483</v>
      </c>
      <c r="C10" s="15" t="n">
        <f aca="false">SUMIFS(Countries!$F$4:$F$73,Countries!$D$4:$D$73,$A10)</f>
        <v>270336</v>
      </c>
      <c r="D10" s="15" t="n">
        <f aca="false">SUMIFS(Countries!$G$4:$G$73,Countries!$D$4:$D$73,$A10)</f>
        <v>397570</v>
      </c>
      <c r="E10" s="15" t="n">
        <f aca="false">SUMIFS(Countries!$H$4:$H$73,Countries!$D$4:$D$73,$A10)</f>
        <v>555101</v>
      </c>
      <c r="F10" s="15" t="n">
        <f aca="false">SUMIFS(Countries!$I$4:$I$73,Countries!$D$4:$D$73,$A10)</f>
        <v>655061</v>
      </c>
      <c r="G10" s="15" t="n">
        <f aca="false">SUMIFS(Countries!$J$4:$J$73,Countries!$D$4:$D$73,$A10)</f>
        <v>442734</v>
      </c>
      <c r="H10" s="15" t="n">
        <f aca="false">G10-B10</f>
        <v>291251</v>
      </c>
      <c r="I10" s="16" t="n">
        <f aca="false">IF(B10&gt;0,H10/B10,"")</f>
        <v>1.92266458942588</v>
      </c>
      <c r="J10" s="17" t="n">
        <f aca="false">IF(B10&gt;0,(G10/B10)^(1/5)-1,"")</f>
        <v>0.239241062861077</v>
      </c>
    </row>
    <row r="11" customFormat="false" ht="15" hidden="false" customHeight="false" outlineLevel="0" collapsed="false">
      <c r="A11" s="9" t="s">
        <v>84</v>
      </c>
      <c r="B11" s="15" t="n">
        <f aca="false">SUMIFS(Countries!$E$4:$E$73,Countries!$D$4:$D$73,$A11)</f>
        <v>102989</v>
      </c>
      <c r="C11" s="15" t="n">
        <f aca="false">SUMIFS(Countries!$F$4:$F$73,Countries!$D$4:$D$73,$A11)</f>
        <v>116999</v>
      </c>
      <c r="D11" s="15" t="n">
        <f aca="false">SUMIFS(Countries!$G$4:$G$73,Countries!$D$4:$D$73,$A11)</f>
        <v>153546</v>
      </c>
      <c r="E11" s="15" t="n">
        <f aca="false">SUMIFS(Countries!$H$4:$H$73,Countries!$D$4:$D$73,$A11)</f>
        <v>209808</v>
      </c>
      <c r="F11" s="15" t="n">
        <f aca="false">SUMIFS(Countries!$I$4:$I$73,Countries!$D$4:$D$73,$A11)</f>
        <v>246410</v>
      </c>
      <c r="G11" s="15" t="n">
        <f aca="false">SUMIFS(Countries!$J$4:$J$73,Countries!$D$4:$D$73,$A11)</f>
        <v>310086</v>
      </c>
      <c r="H11" s="15" t="n">
        <f aca="false">G11-B11</f>
        <v>207097</v>
      </c>
      <c r="I11" s="16" t="n">
        <f aca="false">IF(B11&gt;0,H11/B11,"")</f>
        <v>2.01086523803513</v>
      </c>
      <c r="J11" s="17" t="n">
        <f aca="false">IF(B11&gt;0,(G11/B11)^(1/5)-1,"")</f>
        <v>0.246631979436819</v>
      </c>
    </row>
    <row r="12" customFormat="false" ht="15" hidden="false" customHeight="false" outlineLevel="0" collapsed="false">
      <c r="A12" s="9" t="s">
        <v>85</v>
      </c>
      <c r="B12" s="15" t="n">
        <f aca="false">SUMIFS(Countries!$E$4:$E$73,Countries!$D$4:$D$73,$A12)</f>
        <v>491</v>
      </c>
      <c r="C12" s="15" t="n">
        <f aca="false">SUMIFS(Countries!$F$4:$F$73,Countries!$D$4:$D$73,$A12)</f>
        <v>532</v>
      </c>
      <c r="D12" s="15" t="n">
        <f aca="false">SUMIFS(Countries!$G$4:$G$73,Countries!$D$4:$D$73,$A12)</f>
        <v>535</v>
      </c>
      <c r="E12" s="15" t="n">
        <f aca="false">SUMIFS(Countries!$H$4:$H$73,Countries!$D$4:$D$73,$A12)</f>
        <v>680</v>
      </c>
      <c r="F12" s="15" t="n">
        <f aca="false">SUMIFS(Countries!$I$4:$I$73,Countries!$D$4:$D$73,$A12)</f>
        <v>381</v>
      </c>
      <c r="G12" s="15" t="n">
        <f aca="false">SUMIFS(Countries!$J$4:$J$73,Countries!$D$4:$D$73,$A12)</f>
        <v>373</v>
      </c>
      <c r="H12" s="15" t="n">
        <f aca="false">G12-B12</f>
        <v>-118</v>
      </c>
      <c r="I12" s="16" t="n">
        <f aca="false">IF(B12&gt;0,H12/B12,"")</f>
        <v>-0.240325865580448</v>
      </c>
      <c r="J12" s="17" t="n">
        <f aca="false">IF(B12&gt;0,(G12/B12)^(1/5)-1,"")</f>
        <v>-0.0534894306569593</v>
      </c>
    </row>
    <row r="13" customFormat="false" ht="15" hidden="false" customHeight="false" outlineLevel="0" collapsed="false">
      <c r="A13" s="18" t="s">
        <v>86</v>
      </c>
      <c r="B13" s="19" t="n">
        <f aca="false">SUM(B6:B12)</f>
        <v>4884479</v>
      </c>
      <c r="C13" s="19" t="n">
        <f aca="false">SUM(C6:C12)</f>
        <v>5576740</v>
      </c>
      <c r="D13" s="19" t="n">
        <f aca="false">SUM(D6:D12)</f>
        <v>6766541</v>
      </c>
      <c r="E13" s="19" t="n">
        <f aca="false">SUM(E6:E12)</f>
        <v>7389912</v>
      </c>
      <c r="F13" s="19" t="n">
        <f aca="false">SUM(F6:F12)</f>
        <v>7826093</v>
      </c>
      <c r="G13" s="19" t="n">
        <f aca="false">SUM(G6:G12)</f>
        <v>7682752</v>
      </c>
      <c r="H13" s="19" t="n">
        <f aca="false">G13-B13</f>
        <v>2798273</v>
      </c>
      <c r="I13" s="20" t="n">
        <f aca="false">H13/B13</f>
        <v>0.572890783233995</v>
      </c>
      <c r="J13" s="21" t="n">
        <f aca="false">(G13/B13)^(1/5)-1</f>
        <v>0.0948124147952905</v>
      </c>
    </row>
    <row r="14" customFormat="false" ht="15" hidden="false" customHeight="false" outlineLevel="0" collapsed="false">
      <c r="A14" s="6" t="s">
        <v>87</v>
      </c>
      <c r="B14" s="6" t="str">
        <f aca="false">IF(ABS(B13-Countries!E74)&lt;0.5,"OK","CHECK")</f>
        <v>OK</v>
      </c>
      <c r="C14" s="6" t="str">
        <f aca="false">IF(ABS(C13-Countries!F74)&lt;0.5,"OK","CHECK")</f>
        <v>OK</v>
      </c>
      <c r="D14" s="6" t="str">
        <f aca="false">IF(ABS(D13-Countries!G74)&lt;0.5,"OK","CHECK")</f>
        <v>OK</v>
      </c>
      <c r="E14" s="6" t="str">
        <f aca="false">IF(ABS(E13-Countries!H74)&lt;0.5,"OK","CHECK")</f>
        <v>OK</v>
      </c>
      <c r="F14" s="6" t="str">
        <f aca="false">IF(ABS(F13-Countries!I74)&lt;0.5,"OK","CHECK")</f>
        <v>OK</v>
      </c>
      <c r="G14" s="6" t="str">
        <f aca="false">IF(ABS(G13-Countries!J74)&lt;0.5,"OK","CHECK")</f>
        <v>OK</v>
      </c>
      <c r="H14" s="9"/>
      <c r="I14" s="9"/>
      <c r="J14" s="9"/>
    </row>
    <row r="16" customFormat="false" ht="15" hidden="false" customHeight="false" outlineLevel="0" collapsed="false">
      <c r="A16" s="7" t="s">
        <v>88</v>
      </c>
    </row>
    <row r="17" customFormat="false" ht="31.5" hidden="false" customHeight="true" outlineLevel="0" collapsed="false">
      <c r="A17" s="8" t="s">
        <v>75</v>
      </c>
      <c r="B17" s="14" t="n">
        <v>2020</v>
      </c>
      <c r="C17" s="14" t="n">
        <v>2021</v>
      </c>
      <c r="D17" s="14" t="n">
        <v>2022</v>
      </c>
      <c r="E17" s="14" t="n">
        <v>2023</v>
      </c>
      <c r="F17" s="14" t="n">
        <v>2024</v>
      </c>
      <c r="G17" s="14" t="n">
        <v>2025</v>
      </c>
      <c r="H17" s="8" t="s">
        <v>89</v>
      </c>
    </row>
    <row r="18" customFormat="false" ht="15" hidden="false" customHeight="false" outlineLevel="0" collapsed="false">
      <c r="A18" s="9" t="s">
        <v>79</v>
      </c>
      <c r="B18" s="22" t="n">
        <f aca="false">B6/B$13</f>
        <v>0.660388958576749</v>
      </c>
      <c r="C18" s="22" t="n">
        <f aca="false">C6/C$13</f>
        <v>0.667207006243791</v>
      </c>
      <c r="D18" s="22" t="n">
        <f aca="false">D6/D$13</f>
        <v>0.6650287052129</v>
      </c>
      <c r="E18" s="22" t="n">
        <f aca="false">E6/E$13</f>
        <v>0.664289642420641</v>
      </c>
      <c r="F18" s="22" t="n">
        <f aca="false">F6/F$13</f>
        <v>0.631946745330013</v>
      </c>
      <c r="G18" s="22" t="n">
        <f aca="false">G6/G$13</f>
        <v>0.641397900127454</v>
      </c>
      <c r="H18" s="23" t="n">
        <f aca="false">G18-B18</f>
        <v>-0.0189910584492946</v>
      </c>
    </row>
    <row r="19" customFormat="false" ht="15" hidden="false" customHeight="false" outlineLevel="0" collapsed="false">
      <c r="A19" s="9" t="s">
        <v>80</v>
      </c>
      <c r="B19" s="22" t="n">
        <f aca="false">B7/B$13</f>
        <v>0.195380715118235</v>
      </c>
      <c r="C19" s="22" t="n">
        <f aca="false">C7/C$13</f>
        <v>0.181005390245914</v>
      </c>
      <c r="D19" s="22" t="n">
        <f aca="false">D7/D$13</f>
        <v>0.156983900636972</v>
      </c>
      <c r="E19" s="22" t="n">
        <f aca="false">E7/E$13</f>
        <v>0.163871640149436</v>
      </c>
      <c r="F19" s="22" t="n">
        <f aca="false">F7/F$13</f>
        <v>0.175302670182938</v>
      </c>
      <c r="G19" s="22" t="n">
        <f aca="false">G7/G$13</f>
        <v>0.208961189948602</v>
      </c>
      <c r="H19" s="23" t="n">
        <f aca="false">G19-B19</f>
        <v>0.013580474830367</v>
      </c>
    </row>
    <row r="20" customFormat="false" ht="15" hidden="false" customHeight="false" outlineLevel="0" collapsed="false">
      <c r="A20" s="9" t="s">
        <v>81</v>
      </c>
      <c r="B20" s="22" t="n">
        <f aca="false">B8/B$13</f>
        <v>0.0518051157554368</v>
      </c>
      <c r="C20" s="22" t="n">
        <f aca="false">C8/C$13</f>
        <v>0.0451369438058794</v>
      </c>
      <c r="D20" s="22" t="n">
        <f aca="false">D8/D$13</f>
        <v>0.0665502507115526</v>
      </c>
      <c r="E20" s="22" t="n">
        <f aca="false">E8/E$13</f>
        <v>0.0393019565050301</v>
      </c>
      <c r="F20" s="22" t="n">
        <f aca="false">F8/F$13</f>
        <v>0.0516766156497246</v>
      </c>
      <c r="G20" s="22" t="n">
        <f aca="false">G8/G$13</f>
        <v>0.0296613765484035</v>
      </c>
      <c r="H20" s="23" t="n">
        <f aca="false">G20-B20</f>
        <v>-0.0221437392070333</v>
      </c>
    </row>
    <row r="21" customFormat="false" ht="15" hidden="false" customHeight="false" outlineLevel="0" collapsed="false">
      <c r="A21" s="9" t="s">
        <v>82</v>
      </c>
      <c r="B21" s="22" t="n">
        <f aca="false">B9/B$13</f>
        <v>0.0402266034924093</v>
      </c>
      <c r="C21" s="22" t="n">
        <f aca="false">C9/C$13</f>
        <v>0.0370998110006922</v>
      </c>
      <c r="D21" s="22" t="n">
        <f aca="false">D9/D$13</f>
        <v>0.0299108510537363</v>
      </c>
      <c r="E21" s="22" t="n">
        <f aca="false">E9/E$13</f>
        <v>0.0289375570372151</v>
      </c>
      <c r="F21" s="22" t="n">
        <f aca="false">F9/F$13</f>
        <v>0.0258374133811086</v>
      </c>
      <c r="G21" s="22" t="n">
        <f aca="false">G9/G$13</f>
        <v>0.021942658047533</v>
      </c>
      <c r="H21" s="23" t="n">
        <f aca="false">G21-B21</f>
        <v>-0.0182839454448764</v>
      </c>
    </row>
    <row r="22" customFormat="false" ht="15" hidden="false" customHeight="false" outlineLevel="0" collapsed="false">
      <c r="A22" s="9" t="s">
        <v>83</v>
      </c>
      <c r="B22" s="22" t="n">
        <f aca="false">B10/B$13</f>
        <v>0.0310131336422984</v>
      </c>
      <c r="C22" s="22" t="n">
        <f aca="false">C10/C$13</f>
        <v>0.0484756327173223</v>
      </c>
      <c r="D22" s="22" t="n">
        <f aca="false">D10/D$13</f>
        <v>0.0587552783615735</v>
      </c>
      <c r="E22" s="22" t="n">
        <f aca="false">E10/E$13</f>
        <v>0.0751160500964017</v>
      </c>
      <c r="F22" s="22" t="n">
        <f aca="false">F10/F$13</f>
        <v>0.0837021742522099</v>
      </c>
      <c r="G22" s="22" t="n">
        <f aca="false">G10/G$13</f>
        <v>0.0576270065726448</v>
      </c>
      <c r="H22" s="23" t="n">
        <f aca="false">G22-B22</f>
        <v>0.0266138729303464</v>
      </c>
    </row>
    <row r="23" customFormat="false" ht="15" hidden="false" customHeight="false" outlineLevel="0" collapsed="false">
      <c r="A23" s="9" t="s">
        <v>84</v>
      </c>
      <c r="B23" s="22" t="n">
        <f aca="false">B11/B$13</f>
        <v>0.0210849509231179</v>
      </c>
      <c r="C23" s="22" t="n">
        <f aca="false">C11/C$13</f>
        <v>0.0209798197513243</v>
      </c>
      <c r="D23" s="22" t="n">
        <f aca="false">D11/D$13</f>
        <v>0.0226919485154971</v>
      </c>
      <c r="E23" s="22" t="n">
        <f aca="false">E11/E$13</f>
        <v>0.0283911364573759</v>
      </c>
      <c r="F23" s="22" t="n">
        <f aca="false">F11/F$13</f>
        <v>0.0314856979082666</v>
      </c>
      <c r="G23" s="22" t="n">
        <f aca="false">G11/G$13</f>
        <v>0.0403613184442242</v>
      </c>
      <c r="H23" s="23" t="n">
        <f aca="false">G23-B23</f>
        <v>0.0192763675211063</v>
      </c>
    </row>
    <row r="24" customFormat="false" ht="15" hidden="false" customHeight="false" outlineLevel="0" collapsed="false">
      <c r="A24" s="9" t="s">
        <v>85</v>
      </c>
      <c r="B24" s="22" t="n">
        <f aca="false">B12/B$13</f>
        <v>0.000100522491753982</v>
      </c>
      <c r="C24" s="22" t="n">
        <f aca="false">C12/C$13</f>
        <v>9.53962350764066E-005</v>
      </c>
      <c r="D24" s="22" t="n">
        <f aca="false">D12/D$13</f>
        <v>7.9065507768297E-005</v>
      </c>
      <c r="E24" s="22" t="n">
        <f aca="false">E12/E$13</f>
        <v>9.20173339005931E-005</v>
      </c>
      <c r="F24" s="22" t="n">
        <f aca="false">F12/F$13</f>
        <v>4.86832957390105E-005</v>
      </c>
      <c r="G24" s="22" t="n">
        <f aca="false">G12/G$13</f>
        <v>4.85503111385087E-005</v>
      </c>
      <c r="H24" s="23" t="n">
        <f aca="false">G24-B24</f>
        <v>-5.19721806154737E-005</v>
      </c>
    </row>
    <row r="26" customFormat="false" ht="15" hidden="false" customHeight="false" outlineLevel="0" collapsed="false">
      <c r="A26" s="7" t="s">
        <v>90</v>
      </c>
    </row>
    <row r="27" customFormat="false" ht="21.75" hidden="false" customHeight="true" outlineLevel="0" collapsed="false">
      <c r="A27" s="8" t="s">
        <v>38</v>
      </c>
      <c r="B27" s="14" t="n">
        <v>2020</v>
      </c>
      <c r="C27" s="14" t="n">
        <v>2021</v>
      </c>
      <c r="D27" s="14" t="n">
        <v>2022</v>
      </c>
      <c r="E27" s="14" t="n">
        <v>2023</v>
      </c>
      <c r="F27" s="14" t="n">
        <v>2024</v>
      </c>
      <c r="G27" s="14" t="n">
        <v>2025</v>
      </c>
    </row>
    <row r="28" customFormat="false" ht="15" hidden="false" customHeight="false" outlineLevel="0" collapsed="false">
      <c r="A28" s="9" t="s">
        <v>91</v>
      </c>
      <c r="B28" s="24" t="n">
        <f aca="false">SUMIFS(Countries!$E$4:$E$73,Countries!$C$4:$C$73,"Latin America &amp; Caribbean")</f>
        <v>4629516</v>
      </c>
      <c r="C28" s="24" t="n">
        <f aca="false">SUMIFS(Countries!$F$4:$F$73,Countries!$C$4:$C$73,"Latin America &amp; Caribbean")</f>
        <v>5188873</v>
      </c>
      <c r="D28" s="24" t="n">
        <f aca="false">SUMIFS(Countries!$G$4:$G$73,Countries!$C$4:$C$73,"Latin America &amp; Caribbean")</f>
        <v>6214890</v>
      </c>
      <c r="E28" s="24" t="n">
        <f aca="false">SUMIFS(Countries!$H$4:$H$73,Countries!$C$4:$C$73,"Latin America &amp; Caribbean")</f>
        <v>6624323</v>
      </c>
      <c r="F28" s="24" t="n">
        <f aca="false">SUMIFS(Countries!$I$4:$I$73,Countries!$C$4:$C$73,"Latin America &amp; Caribbean")</f>
        <v>6924241</v>
      </c>
      <c r="G28" s="24" t="n">
        <f aca="false">SUMIFS(Countries!$J$4:$J$73,Countries!$C$4:$C$73,"Latin America &amp; Caribbean")</f>
        <v>6929559</v>
      </c>
    </row>
    <row r="29" customFormat="false" ht="15" hidden="false" customHeight="false" outlineLevel="0" collapsed="false">
      <c r="A29" s="9" t="s">
        <v>92</v>
      </c>
      <c r="B29" s="24" t="n">
        <f aca="false">B13-B28</f>
        <v>254963</v>
      </c>
      <c r="C29" s="24" t="n">
        <f aca="false">C13-C28</f>
        <v>387867</v>
      </c>
      <c r="D29" s="24" t="n">
        <f aca="false">D13-D28</f>
        <v>551651</v>
      </c>
      <c r="E29" s="24" t="n">
        <f aca="false">E13-E28</f>
        <v>765589</v>
      </c>
      <c r="F29" s="24" t="n">
        <f aca="false">F13-F28</f>
        <v>901852</v>
      </c>
      <c r="G29" s="24" t="n">
        <f aca="false">G13-G28</f>
        <v>753193</v>
      </c>
    </row>
    <row r="30" customFormat="false" ht="15" hidden="false" customHeight="false" outlineLevel="0" collapsed="false">
      <c r="A30" s="9" t="s">
        <v>43</v>
      </c>
      <c r="B30" s="22" t="n">
        <f aca="false">B28/B13</f>
        <v>0.94780139294283</v>
      </c>
      <c r="C30" s="22" t="n">
        <f aca="false">C28/C13</f>
        <v>0.930449151296277</v>
      </c>
      <c r="D30" s="22" t="n">
        <f aca="false">D28/D13</f>
        <v>0.918473707615161</v>
      </c>
      <c r="E30" s="22" t="n">
        <f aca="false">E28/E13</f>
        <v>0.896400796112322</v>
      </c>
      <c r="F30" s="22" t="n">
        <f aca="false">F28/F13</f>
        <v>0.884763444543785</v>
      </c>
      <c r="G30" s="22" t="n">
        <f aca="false">G28/G13</f>
        <v>0.901963124671993</v>
      </c>
    </row>
    <row r="31" customFormat="false" ht="15" hidden="false" customHeight="false" outlineLevel="0" collapsed="false">
      <c r="A31" s="9" t="s">
        <v>93</v>
      </c>
      <c r="B31" s="17"/>
      <c r="C31" s="17" t="n">
        <f aca="false">C13/B13-1</f>
        <v>0.141726681596952</v>
      </c>
      <c r="D31" s="17" t="n">
        <f aca="false">D13/C13-1</f>
        <v>0.21335063137245</v>
      </c>
      <c r="E31" s="17" t="n">
        <f aca="false">E13/D13-1</f>
        <v>0.0921255040056654</v>
      </c>
      <c r="F31" s="17" t="n">
        <f aca="false">F13/E13-1</f>
        <v>0.059023842232492</v>
      </c>
      <c r="G31" s="17" t="n">
        <f aca="false">G13/F13-1</f>
        <v>-0.0183157803005919</v>
      </c>
    </row>
    <row r="32" customFormat="false" ht="15" hidden="false" customHeight="false" outlineLevel="0" collapsed="false">
      <c r="A32" s="9" t="s">
        <v>94</v>
      </c>
      <c r="B32" s="22" t="n">
        <f aca="false">(LARGE(Countries!$E$4:$E$73,1)+LARGE(Countries!$E$4:$E$73,2)+LARGE(Countries!$E$4:$E$73,3))/B13</f>
        <v>0.666844713632713</v>
      </c>
      <c r="C32" s="22" t="n">
        <f aca="false">(LARGE(Countries!$F$4:$F$73,1)+LARGE(Countries!$F$4:$F$73,2)+LARGE(Countries!$F$4:$F$73,3))/C13</f>
        <v>0.665042480015206</v>
      </c>
      <c r="D32" s="22" t="n">
        <f aca="false">(LARGE(Countries!$G$4:$G$73,1)+LARGE(Countries!$G$4:$G$73,2)+LARGE(Countries!$G$4:$G$73,3))/D13</f>
        <v>0.662993100906357</v>
      </c>
      <c r="E32" s="22" t="n">
        <f aca="false">(LARGE(Countries!$H$4:$H$73,1)+LARGE(Countries!$H$4:$H$73,2)+LARGE(Countries!$H$4:$H$73,3))/E13</f>
        <v>0.67225644906191</v>
      </c>
      <c r="F32" s="22" t="n">
        <f aca="false">(LARGE(Countries!$I$4:$I$73,1)+LARGE(Countries!$I$4:$I$73,2)+LARGE(Countries!$I$4:$I$73,3))/F13</f>
        <v>0.654229255900741</v>
      </c>
      <c r="G32" s="22" t="n">
        <f aca="false">(LARGE(Countries!$J$4:$J$73,1)+LARGE(Countries!$J$4:$J$73,2)+LARGE(Countries!$J$4:$J$73,3))/G13</f>
        <v>0.677071445232125</v>
      </c>
    </row>
    <row r="33" customFormat="false" ht="15" hidden="false" customHeight="false" outlineLevel="0" collapsed="false">
      <c r="A33" s="9" t="s">
        <v>95</v>
      </c>
      <c r="B33" s="25" t="n">
        <f aca="false">COUNTIF(Countries!$E$4:$E$73,"&gt;=1000")</f>
        <v>23</v>
      </c>
      <c r="C33" s="25" t="n">
        <f aca="false">COUNTIF(Countries!$F$4:$F$73,"&gt;=1000")</f>
        <v>24</v>
      </c>
      <c r="D33" s="25" t="n">
        <f aca="false">COUNTIF(Countries!$G$4:$G$73,"&gt;=1000")</f>
        <v>26</v>
      </c>
      <c r="E33" s="25" t="n">
        <f aca="false">COUNTIF(Countries!$H$4:$H$73,"&gt;=1000")</f>
        <v>27</v>
      </c>
      <c r="F33" s="25" t="n">
        <f aca="false">COUNTIF(Countries!$I$4:$I$73,"&gt;=1000")</f>
        <v>27</v>
      </c>
      <c r="G33" s="25" t="n">
        <f aca="false">COUNTIF(Countries!$J$4:$J$73,"&gt;=1000")</f>
        <v>27</v>
      </c>
    </row>
    <row r="34" customFormat="false" ht="15" hidden="false" customHeight="false" outlineLevel="0" collapsed="false">
      <c r="A34" s="9" t="s">
        <v>96</v>
      </c>
      <c r="B34" s="25" t="n">
        <f aca="false">COUNTIF(Countries!$E$4:$E$73,"&gt;0")</f>
        <v>62</v>
      </c>
      <c r="C34" s="25" t="n">
        <f aca="false">COUNTIF(Countries!$F$4:$F$73,"&gt;0")</f>
        <v>64</v>
      </c>
      <c r="D34" s="25" t="n">
        <f aca="false">COUNTIF(Countries!$G$4:$G$73,"&gt;0")</f>
        <v>59</v>
      </c>
      <c r="E34" s="25" t="n">
        <f aca="false">COUNTIF(Countries!$H$4:$H$73,"&gt;0")</f>
        <v>53</v>
      </c>
      <c r="F34" s="25" t="n">
        <f aca="false">COUNTIF(Countries!$I$4:$I$73,"&gt;0")</f>
        <v>52</v>
      </c>
      <c r="G34" s="25" t="n">
        <f aca="false">COUNTIF(Countries!$J$4:$J$73,"&gt;0")</f>
        <v>54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250D6"/>
    <pageSetUpPr fitToPage="false"/>
  </sheetPr>
  <dimension ref="A1:N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8"/>
    <col collapsed="false" customWidth="true" hidden="false" outlineLevel="0" max="4" min="3" style="0" width="26"/>
    <col collapsed="false" customWidth="true" hidden="false" outlineLevel="0" max="6" min="5" style="0" width="13"/>
    <col collapsed="false" customWidth="true" hidden="false" outlineLevel="0" max="7" min="7" style="0" width="15"/>
    <col collapsed="false" customWidth="true" hidden="false" outlineLevel="0" max="9" min="8" style="0" width="3"/>
    <col collapsed="false" customWidth="true" hidden="false" outlineLevel="0" max="10" min="10" style="0" width="16"/>
    <col collapsed="false" customWidth="true" hidden="false" outlineLevel="0" max="12" min="11" style="0" width="13"/>
    <col collapsed="false" customWidth="true" hidden="false" outlineLevel="0" max="13" min="13" style="0" width="14"/>
    <col collapsed="false" customWidth="true" hidden="false" outlineLevel="0" max="14" min="14" style="0" width="16"/>
  </cols>
  <sheetData>
    <row r="1" customFormat="false" ht="19.7" hidden="false" customHeight="false" outlineLevel="0" collapsed="false">
      <c r="A1" s="1" t="s">
        <v>97</v>
      </c>
    </row>
    <row r="2" customFormat="false" ht="15" hidden="false" customHeight="false" outlineLevel="0" collapsed="false">
      <c r="A2" s="6" t="s">
        <v>98</v>
      </c>
    </row>
    <row r="4" customFormat="false" ht="15" hidden="false" customHeight="false" outlineLevel="0" collapsed="false">
      <c r="B4" s="7" t="s">
        <v>99</v>
      </c>
      <c r="C4" s="26" t="n">
        <v>2025</v>
      </c>
    </row>
    <row r="5" customFormat="false" ht="15" hidden="false" customHeight="false" outlineLevel="0" collapsed="false">
      <c r="B5" s="7" t="s">
        <v>100</v>
      </c>
      <c r="C5" s="26" t="s">
        <v>101</v>
      </c>
    </row>
    <row r="8" customFormat="false" ht="15" hidden="false" customHeight="false" outlineLevel="0" collapsed="false">
      <c r="B8" s="7" t="s">
        <v>102</v>
      </c>
      <c r="J8" s="7" t="s">
        <v>103</v>
      </c>
    </row>
    <row r="9" customFormat="false" ht="30" hidden="false" customHeight="true" outlineLevel="0" collapsed="false">
      <c r="B9" s="8" t="s">
        <v>104</v>
      </c>
      <c r="C9" s="8" t="s">
        <v>100</v>
      </c>
      <c r="D9" s="8" t="s">
        <v>75</v>
      </c>
      <c r="E9" s="8" t="s">
        <v>105</v>
      </c>
      <c r="F9" s="8" t="s">
        <v>106</v>
      </c>
      <c r="G9" s="8" t="s">
        <v>107</v>
      </c>
      <c r="J9" s="8" t="s">
        <v>99</v>
      </c>
      <c r="K9" s="8" t="s">
        <v>105</v>
      </c>
      <c r="L9" s="8" t="s">
        <v>106</v>
      </c>
      <c r="M9" s="8" t="s">
        <v>107</v>
      </c>
      <c r="N9" s="8" t="s">
        <v>108</v>
      </c>
    </row>
    <row r="10" customFormat="false" ht="15" hidden="false" customHeight="false" outlineLevel="0" collapsed="false">
      <c r="B10" s="27" t="n">
        <v>1</v>
      </c>
      <c r="C10" s="9" t="str">
        <f aca="false">INDEX(Countries!$B$4:$B$73,MATCH($B10,Countries!$S$4:$S$73,0))</f>
        <v>Colombia</v>
      </c>
      <c r="D10" s="9" t="str">
        <f aca="false">INDEX(Countries!$D$4:$D$73,MATCH($B10,Countries!$S$4:$S$73,0))</f>
        <v>Andean region</v>
      </c>
      <c r="E10" s="24" t="n">
        <f aca="false">INDEX(Countries!$Q$4:$Q$73,MATCH($B10,Countries!$S$4:$S$73,0))</f>
        <v>2828195</v>
      </c>
      <c r="F10" s="22" t="n">
        <f aca="false">E10/Countries!$Q$74</f>
        <v>0.368122646676608</v>
      </c>
      <c r="G10" s="28" t="n">
        <f aca="false">IF($C$4=2020,"n/a",E10-INDEX(Countries!$E$4:$J$73,MATCH($B10,Countries!$S$4:$S$73,0),MATCH($C$4,Countries!$E$3:$J$3,0)-1))</f>
        <v>19227</v>
      </c>
      <c r="J10" s="25" t="n">
        <v>2020</v>
      </c>
      <c r="K10" s="24" t="n">
        <f aca="false">SUMIFS(Data!$V$2:$V$351,Data!$A$2:$A$351,J10,Data!$B$2:$B$351,$C$5)</f>
        <v>1749895</v>
      </c>
      <c r="L10" s="22" t="n">
        <f aca="false">K10/INDEX(Countries!$E$74:$J$74,MATCH(J10,Countries!$E$3:$J$3,0))</f>
        <v>0.358256223437546</v>
      </c>
      <c r="M10" s="29"/>
      <c r="N10" s="23"/>
    </row>
    <row r="11" customFormat="false" ht="15" hidden="false" customHeight="false" outlineLevel="0" collapsed="false">
      <c r="B11" s="27" t="n">
        <v>2</v>
      </c>
      <c r="C11" s="9" t="str">
        <f aca="false">INDEX(Countries!$B$4:$B$73,MATCH($B11,Countries!$S$4:$S$73,0))</f>
        <v>Peru</v>
      </c>
      <c r="D11" s="9" t="str">
        <f aca="false">INDEX(Countries!$D$4:$D$73,MATCH($B11,Countries!$S$4:$S$73,0))</f>
        <v>Andean region</v>
      </c>
      <c r="E11" s="24" t="n">
        <f aca="false">INDEX(Countries!$Q$4:$Q$73,MATCH($B11,Countries!$S$4:$S$73,0))</f>
        <v>1641305</v>
      </c>
      <c r="F11" s="22" t="n">
        <f aca="false">E11/Countries!$Q$74</f>
        <v>0.213635035987105</v>
      </c>
      <c r="G11" s="28" t="n">
        <f aca="false">IF($C$4=2020,"n/a",E11-INDEX(Countries!$E$4:$J$73,MATCH($B11,Countries!$S$4:$S$73,0),MATCH($C$4,Countries!$E$3:$J$3,0)-1))</f>
        <v>-21584</v>
      </c>
      <c r="J11" s="25" t="n">
        <v>2021</v>
      </c>
      <c r="K11" s="24" t="n">
        <f aca="false">SUMIFS(Data!$V$2:$V$351,Data!$A$2:$A$351,J11,Data!$B$2:$B$351,$C$5)</f>
        <v>1872472</v>
      </c>
      <c r="L11" s="22" t="n">
        <f aca="false">K11/INDEX(Countries!$E$74:$J$74,MATCH(J11,Countries!$E$3:$J$3,0))</f>
        <v>0.335764622342085</v>
      </c>
      <c r="M11" s="29" t="n">
        <f aca="false">K11-K10</f>
        <v>122577</v>
      </c>
      <c r="N11" s="23" t="n">
        <f aca="false">IF(K10&gt;0,M11/K10,"")</f>
        <v>0.0700482028921735</v>
      </c>
    </row>
    <row r="12" customFormat="false" ht="15" hidden="false" customHeight="false" outlineLevel="0" collapsed="false">
      <c r="B12" s="27" t="n">
        <v>3</v>
      </c>
      <c r="C12" s="9" t="str">
        <f aca="false">INDEX(Countries!$B$4:$B$73,MATCH($B12,Countries!$S$4:$S$73,0))</f>
        <v>Brazil</v>
      </c>
      <c r="D12" s="9" t="str">
        <f aca="false">INDEX(Countries!$D$4:$D$73,MATCH($B12,Countries!$S$4:$S$73,0))</f>
        <v>Southern Cone &amp; Brazil</v>
      </c>
      <c r="E12" s="24" t="n">
        <f aca="false">INDEX(Countries!$Q$4:$Q$73,MATCH($B12,Countries!$S$4:$S$73,0))</f>
        <v>732272</v>
      </c>
      <c r="F12" s="22" t="n">
        <f aca="false">E12/Countries!$Q$74</f>
        <v>0.095313762568413</v>
      </c>
      <c r="G12" s="28" t="n">
        <f aca="false">IF($C$4=2020,"n/a",E12-INDEX(Countries!$E$4:$J$73,MATCH($B12,Countries!$S$4:$S$73,0),MATCH($C$4,Countries!$E$3:$J$3,0)-1))</f>
        <v>105414</v>
      </c>
      <c r="J12" s="25" t="n">
        <v>2022</v>
      </c>
      <c r="K12" s="24" t="n">
        <f aca="false">SUMIFS(Data!$V$2:$V$351,Data!$A$2:$A$351,J12,Data!$B$2:$B$351,$C$5)</f>
        <v>2477588</v>
      </c>
      <c r="L12" s="22" t="n">
        <f aca="false">K12/INDEX(Countries!$E$74:$J$74,MATCH(J12,Countries!$E$3:$J$3,0))</f>
        <v>0.366152809832971</v>
      </c>
      <c r="M12" s="29" t="n">
        <f aca="false">K12-K11</f>
        <v>605116</v>
      </c>
      <c r="N12" s="23" t="n">
        <f aca="false">IF(K11&gt;0,M12/K11,"")</f>
        <v>0.323164244912608</v>
      </c>
    </row>
    <row r="13" customFormat="false" ht="15" hidden="false" customHeight="false" outlineLevel="0" collapsed="false">
      <c r="B13" s="27" t="n">
        <v>4</v>
      </c>
      <c r="C13" s="9" t="str">
        <f aca="false">INDEX(Countries!$B$4:$B$73,MATCH($B13,Countries!$S$4:$S$73,0))</f>
        <v>Chile</v>
      </c>
      <c r="D13" s="9" t="str">
        <f aca="false">INDEX(Countries!$D$4:$D$73,MATCH($B13,Countries!$S$4:$S$73,0))</f>
        <v>Southern Cone &amp; Brazil</v>
      </c>
      <c r="E13" s="24" t="n">
        <f aca="false">INDEX(Countries!$Q$4:$Q$73,MATCH($B13,Countries!$S$4:$S$73,0))</f>
        <v>669408</v>
      </c>
      <c r="F13" s="22" t="n">
        <f aca="false">E13/Countries!$Q$74</f>
        <v>0.0871312779587315</v>
      </c>
      <c r="G13" s="28" t="n">
        <f aca="false">IF($C$4=2020,"n/a",E13-INDEX(Countries!$E$4:$J$73,MATCH($B13,Countries!$S$4:$S$73,0),MATCH($C$4,Countries!$E$3:$J$3,0)-1))</f>
        <v>136693</v>
      </c>
      <c r="J13" s="25" t="n">
        <v>2023</v>
      </c>
      <c r="K13" s="24" t="n">
        <f aca="false">SUMIFS(Data!$V$2:$V$351,Data!$A$2:$A$351,J13,Data!$B$2:$B$351,$C$5)</f>
        <v>2875743</v>
      </c>
      <c r="L13" s="22" t="n">
        <f aca="false">K13/INDEX(Countries!$E$74:$J$74,MATCH(J13,Countries!$E$3:$J$3,0))</f>
        <v>0.389144417416608</v>
      </c>
      <c r="M13" s="29" t="n">
        <f aca="false">K13-K12</f>
        <v>398155</v>
      </c>
      <c r="N13" s="23" t="n">
        <f aca="false">IF(K12&gt;0,M13/K12,"")</f>
        <v>0.160702667271556</v>
      </c>
    </row>
    <row r="14" customFormat="false" ht="15" hidden="false" customHeight="false" outlineLevel="0" collapsed="false">
      <c r="B14" s="27" t="n">
        <v>5</v>
      </c>
      <c r="C14" s="9" t="str">
        <f aca="false">INDEX(Countries!$B$4:$B$73,MATCH($B14,Countries!$S$4:$S$73,0))</f>
        <v>Ecuador</v>
      </c>
      <c r="D14" s="9" t="str">
        <f aca="false">INDEX(Countries!$D$4:$D$73,MATCH($B14,Countries!$S$4:$S$73,0))</f>
        <v>Andean region</v>
      </c>
      <c r="E14" s="24" t="n">
        <f aca="false">INDEX(Countries!$Q$4:$Q$73,MATCH($B14,Countries!$S$4:$S$73,0))</f>
        <v>441063</v>
      </c>
      <c r="F14" s="22" t="n">
        <f aca="false">E14/Countries!$Q$74</f>
        <v>0.057409506385212</v>
      </c>
      <c r="G14" s="28" t="n">
        <f aca="false">IF($C$4=2020,"n/a",E14-INDEX(Countries!$E$4:$J$73,MATCH($B14,Countries!$S$4:$S$73,0),MATCH($C$4,Countries!$E$3:$J$3,0)-1))</f>
        <v>-3715</v>
      </c>
      <c r="J14" s="25" t="n">
        <v>2024</v>
      </c>
      <c r="K14" s="24" t="n">
        <f aca="false">SUMIFS(Data!$V$2:$V$351,Data!$A$2:$A$351,J14,Data!$B$2:$B$351,$C$5)</f>
        <v>2808968</v>
      </c>
      <c r="L14" s="22" t="n">
        <f aca="false">K14/INDEX(Countries!$E$74:$J$74,MATCH(J14,Countries!$E$3:$J$3,0))</f>
        <v>0.358923411720254</v>
      </c>
      <c r="M14" s="29" t="n">
        <f aca="false">K14-K13</f>
        <v>-66775</v>
      </c>
      <c r="N14" s="23" t="n">
        <f aca="false">IF(K13&gt;0,M14/K13,"")</f>
        <v>-0.0232200860786239</v>
      </c>
    </row>
    <row r="15" customFormat="false" ht="15" hidden="false" customHeight="false" outlineLevel="0" collapsed="false">
      <c r="B15" s="27" t="n">
        <v>6</v>
      </c>
      <c r="C15" s="9" t="str">
        <f aca="false">INDEX(Countries!$B$4:$B$73,MATCH($B15,Countries!$S$4:$S$73,0))</f>
        <v>United States</v>
      </c>
      <c r="D15" s="9" t="str">
        <f aca="false">INDEX(Countries!$D$4:$D$73,MATCH($B15,Countries!$S$4:$S$73,0))</f>
        <v>North America</v>
      </c>
      <c r="E15" s="24" t="n">
        <f aca="false">INDEX(Countries!$Q$4:$Q$73,MATCH($B15,Countries!$S$4:$S$73,0))</f>
        <v>435298</v>
      </c>
      <c r="F15" s="22" t="n">
        <f aca="false">E15/Countries!$Q$74</f>
        <v>0.0566591242304841</v>
      </c>
      <c r="G15" s="28" t="n">
        <f aca="false">IF($C$4=2020,"n/a",E15-INDEX(Countries!$E$4:$J$73,MATCH($B15,Countries!$S$4:$S$73,0),MATCH($C$4,Countries!$E$3:$J$3,0)-1))</f>
        <v>-212904</v>
      </c>
      <c r="J15" s="25" t="n">
        <v>2025</v>
      </c>
      <c r="K15" s="24" t="n">
        <f aca="false">SUMIFS(Data!$V$2:$V$351,Data!$A$2:$A$351,J15,Data!$B$2:$B$351,$C$5)</f>
        <v>2828195</v>
      </c>
      <c r="L15" s="22" t="n">
        <f aca="false">K15/INDEX(Countries!$E$74:$J$74,MATCH(J15,Countries!$E$3:$J$3,0))</f>
        <v>0.368122646676608</v>
      </c>
      <c r="M15" s="29" t="n">
        <f aca="false">K15-K14</f>
        <v>19227</v>
      </c>
      <c r="N15" s="23" t="n">
        <f aca="false">IF(K14&gt;0,M15/K14,"")</f>
        <v>0.00684486259722432</v>
      </c>
    </row>
    <row r="16" customFormat="false" ht="15" hidden="false" customHeight="false" outlineLevel="0" collapsed="false">
      <c r="B16" s="27" t="n">
        <v>7</v>
      </c>
      <c r="C16" s="9" t="str">
        <f aca="false">INDEX(Countries!$B$4:$B$73,MATCH($B16,Countries!$S$4:$S$73,0))</f>
        <v>Spain</v>
      </c>
      <c r="D16" s="9" t="str">
        <f aca="false">INDEX(Countries!$D$4:$D$73,MATCH($B16,Countries!$S$4:$S$73,0))</f>
        <v>Europe</v>
      </c>
      <c r="E16" s="24" t="n">
        <f aca="false">INDEX(Countries!$Q$4:$Q$73,MATCH($B16,Countries!$S$4:$S$73,0))</f>
        <v>283741</v>
      </c>
      <c r="F16" s="22" t="n">
        <f aca="false">E16/Countries!$Q$74</f>
        <v>0.0369322086668944</v>
      </c>
      <c r="G16" s="28" t="n">
        <f aca="false">IF($C$4=2020,"n/a",E16-INDEX(Countries!$E$4:$J$73,MATCH($B16,Countries!$S$4:$S$73,0),MATCH($C$4,Countries!$E$3:$J$3,0)-1))</f>
        <v>62351</v>
      </c>
      <c r="J16" s="7" t="s">
        <v>109</v>
      </c>
    </row>
    <row r="17" customFormat="false" ht="15" hidden="false" customHeight="false" outlineLevel="0" collapsed="false">
      <c r="B17" s="27" t="n">
        <v>8</v>
      </c>
      <c r="C17" s="9" t="str">
        <f aca="false">INDEX(Countries!$B$4:$B$73,MATCH($B17,Countries!$S$4:$S$73,0))</f>
        <v>Argentina</v>
      </c>
      <c r="D17" s="9" t="str">
        <f aca="false">INDEX(Countries!$D$4:$D$73,MATCH($B17,Countries!$S$4:$S$73,0))</f>
        <v>Southern Cone &amp; Brazil</v>
      </c>
      <c r="E17" s="24" t="n">
        <f aca="false">INDEX(Countries!$Q$4:$Q$73,MATCH($B17,Countries!$S$4:$S$73,0))</f>
        <v>174794</v>
      </c>
      <c r="F17" s="22" t="n">
        <f aca="false">E17/Countries!$Q$74</f>
        <v>0.022751482801996</v>
      </c>
      <c r="G17" s="28" t="n">
        <f aca="false">IF($C$4=2020,"n/a",E17-INDEX(Countries!$E$4:$J$73,MATCH($B17,Countries!$S$4:$S$73,0),MATCH($C$4,Countries!$E$3:$J$3,0)-1))</f>
        <v>9178</v>
      </c>
      <c r="J17" s="13" t="str">
        <f aca="false">IF(SUMPRODUCT((Data!$A$2:$A$351=$C$4)*(Data!$B$2:$B$351=$C$5))=0,"No record for this country and year",IF(INDEX(Data!$Y$2:$Y$351,SUMPRODUCT((Data!$A$2:$A$351=$C$4)*(Data!$B$2:$B$351=$C$5)*(ROW(Data!$A$2:$A$351)-1)))="","No data note for this record",INDEX(Data!$Y$2:$Y$351,SUMPRODUCT((Data!$A$2:$A$351=$C$4)*(Data!$B$2:$B$351=$C$5)*(ROW(Data!$A$2:$A$351)-1)))))</f>
        <v>No data note for this record</v>
      </c>
      <c r="K17" s="13"/>
      <c r="L17" s="13"/>
      <c r="M17" s="13"/>
      <c r="N17" s="13"/>
    </row>
    <row r="18" customFormat="false" ht="15" hidden="false" customHeight="false" outlineLevel="0" collapsed="false">
      <c r="B18" s="27" t="n">
        <v>9</v>
      </c>
      <c r="C18" s="9" t="str">
        <f aca="false">INDEX(Countries!$B$4:$B$73,MATCH($B18,Countries!$S$4:$S$73,0))</f>
        <v>Mexico</v>
      </c>
      <c r="D18" s="9" t="str">
        <f aca="false">INDEX(Countries!$D$4:$D$73,MATCH($B18,Countries!$S$4:$S$73,0))</f>
        <v>Central America &amp; Mexico</v>
      </c>
      <c r="E18" s="24" t="n">
        <f aca="false">INDEX(Countries!$Q$4:$Q$73,MATCH($B18,Countries!$S$4:$S$73,0))</f>
        <v>106015</v>
      </c>
      <c r="F18" s="22" t="n">
        <f aca="false">E18/Countries!$Q$74</f>
        <v>0.0137990917837775</v>
      </c>
      <c r="G18" s="28" t="n">
        <f aca="false">IF($C$4=2020,"n/a",E18-INDEX(Countries!$E$4:$J$73,MATCH($B18,Countries!$S$4:$S$73,0),MATCH($C$4,Countries!$E$3:$J$3,0)-1))</f>
        <v>-28111</v>
      </c>
      <c r="J18" s="13"/>
      <c r="K18" s="13"/>
      <c r="L18" s="13"/>
      <c r="M18" s="13"/>
      <c r="N18" s="13"/>
    </row>
    <row r="19" customFormat="false" ht="15" hidden="false" customHeight="false" outlineLevel="0" collapsed="false">
      <c r="B19" s="27" t="n">
        <v>10</v>
      </c>
      <c r="C19" s="9" t="str">
        <f aca="false">INDEX(Countries!$B$4:$B$73,MATCH($B19,Countries!$S$4:$S$73,0))</f>
        <v>Dominican Republic</v>
      </c>
      <c r="D19" s="9" t="str">
        <f aca="false">INDEX(Countries!$D$4:$D$73,MATCH($B19,Countries!$S$4:$S$73,0))</f>
        <v>Caribbean &amp; Guianas</v>
      </c>
      <c r="E19" s="24" t="n">
        <f aca="false">INDEX(Countries!$Q$4:$Q$73,MATCH($B19,Countries!$S$4:$S$73,0))</f>
        <v>99692</v>
      </c>
      <c r="F19" s="22" t="n">
        <f aca="false">E19/Countries!$Q$74</f>
        <v>0.0129760794048799</v>
      </c>
      <c r="G19" s="28" t="n">
        <f aca="false">IF($C$4=2020,"n/a",E19-INDEX(Countries!$E$4:$J$73,MATCH($B19,Countries!$S$4:$S$73,0),MATCH($C$4,Countries!$E$3:$J$3,0)-1))</f>
        <v>-25857</v>
      </c>
      <c r="J19" s="13"/>
      <c r="K19" s="13"/>
      <c r="L19" s="13"/>
      <c r="M19" s="13"/>
      <c r="N19" s="13"/>
    </row>
    <row r="20" customFormat="false" ht="15" hidden="false" customHeight="false" outlineLevel="0" collapsed="false">
      <c r="B20" s="27" t="n">
        <v>11</v>
      </c>
      <c r="C20" s="9" t="str">
        <f aca="false">INDEX(Countries!$B$4:$B$73,MATCH($B20,Countries!$S$4:$S$73,0))</f>
        <v>Panama</v>
      </c>
      <c r="D20" s="9" t="str">
        <f aca="false">INDEX(Countries!$D$4:$D$73,MATCH($B20,Countries!$S$4:$S$73,0))</f>
        <v>Central America &amp; Mexico</v>
      </c>
      <c r="E20" s="24" t="n">
        <f aca="false">INDEX(Countries!$Q$4:$Q$73,MATCH($B20,Countries!$S$4:$S$73,0))</f>
        <v>57845</v>
      </c>
      <c r="F20" s="22" t="n">
        <f aca="false">E20/Countries!$Q$74</f>
        <v>0.00752920307723066</v>
      </c>
      <c r="G20" s="28" t="n">
        <f aca="false">IF($C$4=2020,"n/a",E20-INDEX(Countries!$E$4:$J$73,MATCH($B20,Countries!$S$4:$S$73,0),MATCH($C$4,Countries!$E$3:$J$3,0)-1))</f>
        <v>-134</v>
      </c>
    </row>
    <row r="21" customFormat="false" ht="15" hidden="false" customHeight="false" outlineLevel="0" collapsed="false">
      <c r="B21" s="27" t="n">
        <v>12</v>
      </c>
      <c r="C21" s="9" t="str">
        <f aca="false">INDEX(Countries!$B$4:$B$73,MATCH($B21,Countries!$S$4:$S$73,0))</f>
        <v>Costa Rica</v>
      </c>
      <c r="D21" s="9" t="str">
        <f aca="false">INDEX(Countries!$D$4:$D$73,MATCH($B21,Countries!$S$4:$S$73,0))</f>
        <v>Central America &amp; Mexico</v>
      </c>
      <c r="E21" s="24" t="n">
        <f aca="false">INDEX(Countries!$Q$4:$Q$73,MATCH($B21,Countries!$S$4:$S$73,0))</f>
        <v>29493</v>
      </c>
      <c r="F21" s="22" t="n">
        <f aca="false">E21/Countries!$Q$74</f>
        <v>0.00383885878393576</v>
      </c>
      <c r="G21" s="28" t="n">
        <f aca="false">IF($C$4=2020,"n/a",E21-INDEX(Countries!$E$4:$J$73,MATCH($B21,Countries!$S$4:$S$73,0),MATCH($C$4,Countries!$E$3:$J$3,0)-1))</f>
        <v>149</v>
      </c>
    </row>
    <row r="22" customFormat="false" ht="15" hidden="false" customHeight="false" outlineLevel="0" collapsed="false">
      <c r="B22" s="27" t="n">
        <v>13</v>
      </c>
      <c r="C22" s="9" t="str">
        <f aca="false">INDEX(Countries!$B$4:$B$73,MATCH($B22,Countries!$S$4:$S$73,0))</f>
        <v>Trinidad and Tobago</v>
      </c>
      <c r="D22" s="9" t="str">
        <f aca="false">INDEX(Countries!$D$4:$D$73,MATCH($B22,Countries!$S$4:$S$73,0))</f>
        <v>Caribbean &amp; Guianas</v>
      </c>
      <c r="E22" s="24" t="n">
        <f aca="false">INDEX(Countries!$Q$4:$Q$73,MATCH($B22,Countries!$S$4:$S$73,0))</f>
        <v>26432</v>
      </c>
      <c r="F22" s="22" t="n">
        <f aca="false">E22/Countries!$Q$74</f>
        <v>0.00344043384453904</v>
      </c>
      <c r="G22" s="28" t="n">
        <f aca="false">IF($C$4=2020,"n/a",E22-INDEX(Countries!$E$4:$J$73,MATCH($B22,Countries!$S$4:$S$73,0),MATCH($C$4,Countries!$E$3:$J$3,0)-1))</f>
        <v>-3063</v>
      </c>
      <c r="J22" s="7" t="s">
        <v>110</v>
      </c>
    </row>
    <row r="23" customFormat="false" ht="23.85" hidden="false" customHeight="false" outlineLevel="0" collapsed="false">
      <c r="B23" s="27" t="n">
        <v>14</v>
      </c>
      <c r="C23" s="9" t="str">
        <f aca="false">INDEX(Countries!$B$4:$B$73,MATCH($B23,Countries!$S$4:$S$73,0))</f>
        <v>Uruguay</v>
      </c>
      <c r="D23" s="9" t="str">
        <f aca="false">INDEX(Countries!$D$4:$D$73,MATCH($B23,Countries!$S$4:$S$73,0))</f>
        <v>Southern Cone &amp; Brazil</v>
      </c>
      <c r="E23" s="24" t="n">
        <f aca="false">INDEX(Countries!$Q$4:$Q$73,MATCH($B23,Countries!$S$4:$S$73,0))</f>
        <v>24998</v>
      </c>
      <c r="F23" s="22" t="n">
        <f aca="false">E23/Countries!$Q$74</f>
        <v>0.00325378197812451</v>
      </c>
      <c r="G23" s="28" t="n">
        <f aca="false">IF($C$4=2020,"n/a",E23-INDEX(Countries!$E$4:$J$73,MATCH($B23,Countries!$S$4:$S$73,0),MATCH($C$4,Countries!$E$3:$J$3,0)-1))</f>
        <v>-16168</v>
      </c>
      <c r="J23" s="8" t="s">
        <v>111</v>
      </c>
      <c r="K23" s="8" t="s">
        <v>112</v>
      </c>
      <c r="L23" s="8" t="s">
        <v>113</v>
      </c>
      <c r="M23" s="8" t="s">
        <v>114</v>
      </c>
      <c r="N23" s="8" t="s">
        <v>115</v>
      </c>
    </row>
    <row r="24" customFormat="false" ht="15" hidden="false" customHeight="false" outlineLevel="0" collapsed="false">
      <c r="B24" s="27" t="n">
        <v>15</v>
      </c>
      <c r="C24" s="9" t="str">
        <f aca="false">INDEX(Countries!$B$4:$B$73,MATCH($B24,Countries!$S$4:$S$73,0))</f>
        <v>Guyana</v>
      </c>
      <c r="D24" s="9" t="str">
        <f aca="false">INDEX(Countries!$D$4:$D$73,MATCH($B24,Countries!$S$4:$S$73,0))</f>
        <v>Caribbean &amp; Guianas</v>
      </c>
      <c r="E24" s="24" t="n">
        <f aca="false">INDEX(Countries!$Q$4:$Q$73,MATCH($B24,Countries!$S$4:$S$73,0))</f>
        <v>23413</v>
      </c>
      <c r="F24" s="22" t="n">
        <f aca="false">E24/Countries!$Q$74</f>
        <v>0.00304747569620886</v>
      </c>
      <c r="G24" s="28" t="n">
        <f aca="false">IF($C$4=2020,"n/a",E24-INDEX(Countries!$E$4:$J$73,MATCH($B24,Countries!$S$4:$S$73,0),MATCH($C$4,Countries!$E$3:$J$3,0)-1))</f>
        <v>2</v>
      </c>
      <c r="J24" s="9" t="s">
        <v>116</v>
      </c>
      <c r="K24" s="24" t="n">
        <f aca="false">SUMIFS(Data!$H$2:$H$351,Data!$A$2:$A$351,$C$4,Data!$B$2:$B$351,$C$5)</f>
        <v>43865</v>
      </c>
      <c r="L24" s="24" t="n">
        <f aca="false">SUMIFS(Data!$O$2:$O$351,Data!$A$2:$A$351,$C$4,Data!$B$2:$B$351,$C$5)</f>
        <v>43682</v>
      </c>
      <c r="M24" s="24" t="n">
        <f aca="false">K24+L24</f>
        <v>87547</v>
      </c>
      <c r="N24" s="22" t="n">
        <f aca="false">IF(SUM($M$24:$M$27)&gt;0,M24/SUM($M$24:$M$27),"")</f>
        <v>0.0309690076454152</v>
      </c>
    </row>
    <row r="25" customFormat="false" ht="15" hidden="false" customHeight="false" outlineLevel="0" collapsed="false">
      <c r="B25" s="7" t="s">
        <v>117</v>
      </c>
      <c r="E25" s="30" t="n">
        <f aca="false">SUM(E10:E24)</f>
        <v>7573964</v>
      </c>
      <c r="F25" s="31" t="n">
        <f aca="false">SUM(F10:F24)</f>
        <v>0.985839969844139</v>
      </c>
      <c r="J25" s="9" t="s">
        <v>118</v>
      </c>
      <c r="K25" s="24" t="n">
        <f aca="false">SUMIFS(Data!$I$2:$I$351,Data!$A$2:$A$351,$C$4,Data!$B$2:$B$351,$C$5)+SUMIFS(Data!$J$2:$J$351,Data!$A$2:$A$351,$C$4,Data!$B$2:$B$351,$C$5)</f>
        <v>391921</v>
      </c>
      <c r="L25" s="24" t="n">
        <f aca="false">SUMIFS(Data!$P$2:$P$351,Data!$A$2:$A$351,$C$4,Data!$B$2:$B$351,$C$5)+SUMIFS(Data!$Q$2:$Q$351,Data!$A$2:$A$351,$C$4,Data!$B$2:$B$351,$C$5)</f>
        <v>417605</v>
      </c>
      <c r="M25" s="24" t="n">
        <f aca="false">K25+L25</f>
        <v>809526</v>
      </c>
      <c r="N25" s="22" t="n">
        <f aca="false">IF(SUM($M$24:$M$27)&gt;0,M25/SUM($M$24:$M$27),"")</f>
        <v>0.286362946567699</v>
      </c>
    </row>
    <row r="26" customFormat="false" ht="15" hidden="false" customHeight="false" outlineLevel="0" collapsed="false">
      <c r="J26" s="9" t="s">
        <v>119</v>
      </c>
      <c r="K26" s="24" t="n">
        <f aca="false">SUMIFS(Data!$K$2:$K$351,Data!$A$2:$A$351,$C$4,Data!$B$2:$B$351,$C$5)</f>
        <v>1017787</v>
      </c>
      <c r="L26" s="24" t="n">
        <f aca="false">SUMIFS(Data!$R$2:$R$351,Data!$A$2:$A$351,$C$4,Data!$B$2:$B$351,$C$5)</f>
        <v>840528</v>
      </c>
      <c r="M26" s="24" t="n">
        <f aca="false">K26+L26</f>
        <v>1858315</v>
      </c>
      <c r="N26" s="22" t="n">
        <f aca="false">IF(SUM($M$24:$M$27)&gt;0,M26/SUM($M$24:$M$27),"")</f>
        <v>0.657363147139133</v>
      </c>
    </row>
    <row r="27" customFormat="false" ht="15" hidden="false" customHeight="false" outlineLevel="0" collapsed="false">
      <c r="J27" s="9" t="s">
        <v>120</v>
      </c>
      <c r="K27" s="24" t="n">
        <f aca="false">SUMIFS(Data!$L$2:$L$351,Data!$A$2:$A$351,$C$4,Data!$B$2:$B$351,$C$5)</f>
        <v>44480</v>
      </c>
      <c r="L27" s="24" t="n">
        <f aca="false">SUMIFS(Data!$S$2:$S$351,Data!$A$2:$A$351,$C$4,Data!$B$2:$B$351,$C$5)</f>
        <v>27055</v>
      </c>
      <c r="M27" s="24" t="n">
        <f aca="false">K27+L27</f>
        <v>71535</v>
      </c>
      <c r="N27" s="22" t="n">
        <f aca="false">IF(SUM($M$24:$M$27)&gt;0,M27/SUM($M$24:$M$27),"")</f>
        <v>0.0253048986477523</v>
      </c>
    </row>
    <row r="28" customFormat="false" ht="15" hidden="false" customHeight="false" outlineLevel="0" collapsed="false">
      <c r="J28" s="9" t="s">
        <v>121</v>
      </c>
      <c r="K28" s="24" t="n">
        <f aca="false">SUMIFS(Data!$M$2:$M$351,Data!$A$2:$A$351,$C$4,Data!$B$2:$B$351,$C$5)</f>
        <v>88</v>
      </c>
      <c r="L28" s="24" t="n">
        <f aca="false">SUMIFS(Data!$T$2:$T$351,Data!$A$2:$A$351,$C$4,Data!$B$2:$B$351,$C$5)</f>
        <v>87</v>
      </c>
      <c r="M28" s="24" t="n">
        <f aca="false">K28+L28</f>
        <v>175</v>
      </c>
      <c r="N28" s="22"/>
    </row>
    <row r="29" customFormat="false" ht="15" hidden="false" customHeight="false" outlineLevel="0" collapsed="false">
      <c r="J29" s="7" t="s">
        <v>122</v>
      </c>
      <c r="K29" s="24" t="n">
        <f aca="false">SUM(K24:K28)</f>
        <v>1498141</v>
      </c>
      <c r="L29" s="24" t="n">
        <f aca="false">SUM(L24:L28)</f>
        <v>1328957</v>
      </c>
      <c r="M29" s="24" t="n">
        <f aca="false">SUM(M24:M28)</f>
        <v>2827098</v>
      </c>
      <c r="N29" s="22"/>
    </row>
    <row r="30" customFormat="false" ht="15" hidden="false" customHeight="false" outlineLevel="0" collapsed="false">
      <c r="J30" s="7" t="s">
        <v>123</v>
      </c>
      <c r="K30" s="24"/>
      <c r="L30" s="24"/>
      <c r="M30" s="24" t="n">
        <f aca="false">SUMIFS(Data!$V$2:$V$351,Data!$A$2:$A$351,$C$4,Data!$B$2:$B$351,$C$5)</f>
        <v>2828195</v>
      </c>
      <c r="N30" s="22"/>
    </row>
    <row r="31" customFormat="false" ht="15" hidden="false" customHeight="false" outlineLevel="0" collapsed="false">
      <c r="J31" s="7" t="s">
        <v>124</v>
      </c>
      <c r="K31" s="24"/>
      <c r="L31" s="24"/>
      <c r="M31" s="32" t="n">
        <f aca="false">IF(M30&gt;0,M29/M30,0)</f>
        <v>0.999612120097801</v>
      </c>
      <c r="N31" s="22"/>
    </row>
  </sheetData>
  <mergeCells count="1">
    <mergeCell ref="J17:N19"/>
  </mergeCells>
  <dataValidations count="2">
    <dataValidation allowBlank="false" errorStyle="stop" operator="between" showDropDown="false" showErrorMessage="false" showInputMessage="false" sqref="C4" type="list">
      <formula1>"2020,2021,2022,2023,2024,2025"</formula1>
      <formula2>0</formula2>
    </dataValidation>
    <dataValidation allowBlank="false" errorStyle="stop" operator="between" showDropDown="false" showErrorMessage="false" showInputMessage="false" sqref="C5" type="list">
      <formula1>Countries!$B$4:$B$73</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7BA4"/>
    <pageSetUpPr fitToPage="false"/>
  </sheetPr>
  <dimension ref="A1:H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5" min="3" style="0" width="16"/>
    <col collapsed="false" customWidth="true" hidden="false" outlineLevel="0" max="7" min="6" style="0" width="18"/>
    <col collapsed="false" customWidth="true" hidden="false" outlineLevel="0" max="8" min="8" style="0" width="26"/>
  </cols>
  <sheetData>
    <row r="1" customFormat="false" ht="19.7" hidden="false" customHeight="false" outlineLevel="0" collapsed="false">
      <c r="A1" s="1" t="s">
        <v>125</v>
      </c>
    </row>
    <row r="2" customFormat="false" ht="15" hidden="false" customHeight="false" outlineLevel="0" collapsed="false">
      <c r="A2" s="6" t="s">
        <v>126</v>
      </c>
    </row>
    <row r="3" customFormat="false" ht="15" hidden="false" customHeight="false" outlineLevel="0" collapsed="false">
      <c r="H3" s="6" t="s">
        <v>127</v>
      </c>
    </row>
    <row r="4" customFormat="false" ht="15" hidden="false" customHeight="false" outlineLevel="0" collapsed="false">
      <c r="B4" s="7" t="s">
        <v>99</v>
      </c>
      <c r="C4" s="26" t="n">
        <v>2025</v>
      </c>
      <c r="H4" s="9" t="s">
        <v>128</v>
      </c>
    </row>
    <row r="5" customFormat="false" ht="15" hidden="false" customHeight="false" outlineLevel="0" collapsed="false">
      <c r="B5" s="7" t="s">
        <v>129</v>
      </c>
      <c r="C5" s="26" t="s">
        <v>128</v>
      </c>
      <c r="H5" s="9" t="s">
        <v>79</v>
      </c>
    </row>
    <row r="6" customFormat="false" ht="15" hidden="false" customHeight="false" outlineLevel="0" collapsed="false">
      <c r="B6" s="6" t="s">
        <v>130</v>
      </c>
      <c r="C6" s="6" t="str">
        <f aca="false">IF(C5="All destinations abroad","*",C5)</f>
        <v>*</v>
      </c>
      <c r="H6" s="9" t="s">
        <v>80</v>
      </c>
    </row>
    <row r="7" customFormat="false" ht="15" hidden="false" customHeight="false" outlineLevel="0" collapsed="false">
      <c r="H7" s="9" t="s">
        <v>81</v>
      </c>
    </row>
    <row r="8" customFormat="false" ht="15" hidden="false" customHeight="false" outlineLevel="0" collapsed="false">
      <c r="B8" s="7" t="s">
        <v>131</v>
      </c>
      <c r="H8" s="9" t="s">
        <v>82</v>
      </c>
    </row>
    <row r="9" customFormat="false" ht="30" hidden="false" customHeight="true" outlineLevel="0" collapsed="false">
      <c r="B9" s="8" t="s">
        <v>111</v>
      </c>
      <c r="C9" s="8" t="s">
        <v>112</v>
      </c>
      <c r="D9" s="8" t="s">
        <v>113</v>
      </c>
      <c r="E9" s="8" t="s">
        <v>114</v>
      </c>
      <c r="F9" s="8" t="s">
        <v>132</v>
      </c>
      <c r="G9" s="8" t="s">
        <v>133</v>
      </c>
      <c r="H9" s="9" t="s">
        <v>83</v>
      </c>
    </row>
    <row r="10" customFormat="false" ht="15" hidden="false" customHeight="false" outlineLevel="0" collapsed="false">
      <c r="B10" s="9" t="s">
        <v>116</v>
      </c>
      <c r="C10" s="24" t="n">
        <f aca="false">SUMIFS(Data!$H$2:$H$351,Data!$A$2:$A$351,$C$4,Data!$E$2:$E$351,$C$6,Data!$G$2:$G$351,"Abroad")</f>
        <v>120422</v>
      </c>
      <c r="D10" s="24" t="n">
        <f aca="false">SUMIFS(Data!$O$2:$O$351,Data!$A$2:$A$351,$C$4,Data!$E$2:$E$351,$C$6,Data!$G$2:$G$351,"Abroad")</f>
        <v>123079</v>
      </c>
      <c r="E10" s="24" t="n">
        <f aca="false">C10+D10</f>
        <v>243501</v>
      </c>
      <c r="F10" s="22" t="n">
        <f aca="false">IF(SUM($E$10:$E$13)&gt;0,E10/SUM($E$10:$E$13),"")</f>
        <v>0.0418286051170861</v>
      </c>
      <c r="G10" s="22" t="n">
        <f aca="false">IF(E10&gt;0,C10/E10,"")</f>
        <v>0.494544170249814</v>
      </c>
      <c r="H10" s="9" t="s">
        <v>84</v>
      </c>
    </row>
    <row r="11" customFormat="false" ht="15" hidden="false" customHeight="false" outlineLevel="0" collapsed="false">
      <c r="B11" s="9" t="s">
        <v>118</v>
      </c>
      <c r="C11" s="24" t="n">
        <f aca="false">SUMIFS(Data!$I$2:$I$351,Data!$A$2:$A$351,$C$4,Data!$E$2:$E$351,$C$6,Data!$G$2:$G$351,"Abroad")+SUMIFS(Data!$J$2:$J$351,Data!$A$2:$A$351,$C$4,Data!$E$2:$E$351,$C$6,Data!$G$2:$G$351,"Abroad")</f>
        <v>694487</v>
      </c>
      <c r="D11" s="24" t="n">
        <f aca="false">SUMIFS(Data!$P$2:$P$351,Data!$A$2:$A$351,$C$4,Data!$E$2:$E$351,$C$6,Data!$G$2:$G$351,"Abroad")+SUMIFS(Data!$Q$2:$Q$351,Data!$A$2:$A$351,$C$4,Data!$E$2:$E$351,$C$6,Data!$G$2:$G$351,"Abroad")</f>
        <v>730924</v>
      </c>
      <c r="E11" s="24" t="n">
        <f aca="false">C11+D11</f>
        <v>1425411</v>
      </c>
      <c r="F11" s="22" t="n">
        <f aca="false">IF(SUM($E$10:$E$13)&gt;0,E11/SUM($E$10:$E$13),"")</f>
        <v>0.244857121114701</v>
      </c>
      <c r="G11" s="22" t="n">
        <f aca="false">IF(E11&gt;0,C11/E11,"")</f>
        <v>0.487218774093928</v>
      </c>
      <c r="H11" s="9" t="s">
        <v>85</v>
      </c>
    </row>
    <row r="12" customFormat="false" ht="15" hidden="false" customHeight="false" outlineLevel="0" collapsed="false">
      <c r="B12" s="9" t="s">
        <v>119</v>
      </c>
      <c r="C12" s="24" t="n">
        <f aca="false">SUMIFS(Data!$K$2:$K$351,Data!$A$2:$A$351,$C$4,Data!$E$2:$E$351,$C$6,Data!$G$2:$G$351,"Abroad")</f>
        <v>2085883</v>
      </c>
      <c r="D12" s="24" t="n">
        <f aca="false">SUMIFS(Data!$R$2:$R$351,Data!$A$2:$A$351,$C$4,Data!$E$2:$E$351,$C$6,Data!$G$2:$G$351,"Abroad")</f>
        <v>1860389</v>
      </c>
      <c r="E12" s="24" t="n">
        <f aca="false">C12+D12</f>
        <v>3946272</v>
      </c>
      <c r="F12" s="22" t="n">
        <f aca="false">IF(SUM($E$10:$E$13)&gt;0,E12/SUM($E$10:$E$13),"")</f>
        <v>0.677890658242117</v>
      </c>
      <c r="G12" s="22" t="n">
        <f aca="false">IF(E12&gt;0,C12/E12,"")</f>
        <v>0.528570509077935</v>
      </c>
    </row>
    <row r="13" customFormat="false" ht="15" hidden="false" customHeight="false" outlineLevel="0" collapsed="false">
      <c r="B13" s="9" t="s">
        <v>120</v>
      </c>
      <c r="C13" s="24" t="n">
        <f aca="false">SUMIFS(Data!$L$2:$L$351,Data!$A$2:$A$351,$C$4,Data!$E$2:$E$351,$C$6,Data!$G$2:$G$351,"Abroad")</f>
        <v>131559</v>
      </c>
      <c r="D13" s="24" t="n">
        <f aca="false">SUMIFS(Data!$S$2:$S$351,Data!$A$2:$A$351,$C$4,Data!$E$2:$E$351,$C$6,Data!$G$2:$G$351,"Abroad")</f>
        <v>74656</v>
      </c>
      <c r="E13" s="24" t="n">
        <f aca="false">C13+D13</f>
        <v>206215</v>
      </c>
      <c r="F13" s="22" t="n">
        <f aca="false">IF(SUM($E$10:$E$13)&gt;0,E13/SUM($E$10:$E$13),"")</f>
        <v>0.0354236155260961</v>
      </c>
      <c r="G13" s="22" t="n">
        <f aca="false">IF(E13&gt;0,C13/E13,"")</f>
        <v>0.637970079771113</v>
      </c>
    </row>
    <row r="14" customFormat="false" ht="15" hidden="false" customHeight="false" outlineLevel="0" collapsed="false">
      <c r="B14" s="9" t="s">
        <v>121</v>
      </c>
      <c r="C14" s="24" t="n">
        <f aca="false">SUMIFS(Data!$M$2:$M$351,Data!$A$2:$A$351,$C$4,Data!$E$2:$E$351,$C$6,Data!$G$2:$G$351,"Abroad")</f>
        <v>15177</v>
      </c>
      <c r="D14" s="24" t="n">
        <f aca="false">SUMIFS(Data!$T$2:$T$351,Data!$A$2:$A$351,$C$4,Data!$E$2:$E$351,$C$6,Data!$G$2:$G$351,"Abroad")</f>
        <v>38355</v>
      </c>
      <c r="E14" s="24" t="n">
        <f aca="false">C14+D14</f>
        <v>53532</v>
      </c>
      <c r="F14" s="22"/>
      <c r="G14" s="22"/>
    </row>
    <row r="15" customFormat="false" ht="15" hidden="false" customHeight="false" outlineLevel="0" collapsed="false">
      <c r="B15" s="7" t="s">
        <v>134</v>
      </c>
      <c r="C15" s="24" t="n">
        <f aca="false">SUM(C10:C14)</f>
        <v>3047528</v>
      </c>
      <c r="D15" s="24" t="n">
        <f aca="false">SUM(D10:D14)</f>
        <v>2827403</v>
      </c>
      <c r="E15" s="24" t="n">
        <f aca="false">SUM(E10:E14)</f>
        <v>5874931</v>
      </c>
      <c r="F15" s="22"/>
      <c r="G15" s="22"/>
    </row>
    <row r="16" customFormat="false" ht="15" hidden="false" customHeight="false" outlineLevel="0" collapsed="false">
      <c r="B16" s="7" t="s">
        <v>123</v>
      </c>
      <c r="C16" s="24"/>
      <c r="D16" s="24"/>
      <c r="E16" s="24" t="n">
        <f aca="false">SUMIFS(Data!$V$2:$V$351,Data!$A$2:$A$351,$C$4,Data!$E$2:$E$351,$C$6,Data!$G$2:$G$351,"Abroad")</f>
        <v>7682752</v>
      </c>
      <c r="F16" s="22"/>
      <c r="G16" s="22"/>
    </row>
    <row r="17" customFormat="false" ht="15" hidden="false" customHeight="false" outlineLevel="0" collapsed="false">
      <c r="B17" s="7" t="s">
        <v>124</v>
      </c>
      <c r="C17" s="24"/>
      <c r="D17" s="24"/>
      <c r="E17" s="32" t="n">
        <f aca="false">IF(E16&gt;0,E15/E16,0)</f>
        <v>0.764690959697775</v>
      </c>
      <c r="F17" s="22"/>
      <c r="G17" s="22"/>
    </row>
    <row r="18" customFormat="false" ht="15" hidden="false" customHeight="false" outlineLevel="0" collapsed="false">
      <c r="B18" s="7" t="s">
        <v>135</v>
      </c>
      <c r="C18" s="24"/>
      <c r="D18" s="24"/>
      <c r="E18" s="22" t="n">
        <f aca="false">IF(SUM(E10:E13)&gt;0,SUM(C10:C13)/SUM(E10:E13),"")</f>
        <v>0.520897296337186</v>
      </c>
      <c r="F18" s="22"/>
      <c r="G18" s="22"/>
    </row>
    <row r="21" customFormat="false" ht="15" hidden="false" customHeight="false" outlineLevel="0" collapsed="false">
      <c r="B21" s="7" t="s">
        <v>136</v>
      </c>
    </row>
    <row r="22" customFormat="false" ht="42" hidden="false" customHeight="true" outlineLevel="0" collapsed="false">
      <c r="B22" s="8" t="s">
        <v>75</v>
      </c>
      <c r="C22" s="8" t="s">
        <v>123</v>
      </c>
      <c r="D22" s="8" t="s">
        <v>124</v>
      </c>
      <c r="E22" s="8" t="s">
        <v>137</v>
      </c>
      <c r="F22" s="8" t="s">
        <v>138</v>
      </c>
      <c r="G22" s="8" t="s">
        <v>139</v>
      </c>
      <c r="H22" s="8" t="s">
        <v>140</v>
      </c>
    </row>
    <row r="23" customFormat="false" ht="15" hidden="false" customHeight="false" outlineLevel="0" collapsed="false">
      <c r="B23" s="9" t="s">
        <v>79</v>
      </c>
      <c r="C23" s="24" t="n">
        <f aca="false">SUMIFS(Data!$V$2:$V$351,Data!$A$2:$A$351,$C$4,Data!$E$2:$E$351,$B23,Data!$G$2:$G$351,"Abroad")</f>
        <v>4927701</v>
      </c>
      <c r="D23" s="32" t="n">
        <f aca="false">IF(C23&gt;0,SUMIFS(Data!$W$2:$W$351,Data!$A$2:$A$351,$C$4,Data!$E$2:$E$351,$B23,Data!$G$2:$G$351,"Abroad")/C23,0)</f>
        <v>0.887723098459099</v>
      </c>
      <c r="E23" s="22" t="n">
        <f aca="false">IF(((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O$2:$O$351,Data!$A$2:$A$351,$C$4,Data!$E$2:$E$351,$B23,Data!$G$2:$G$351,"Abroad")+SUMIFS(Data!$P$2:$P$351,Data!$A$2:$A$351,$C$4,Data!$E$2:$E$351,$B23,Data!$G$2:$G$351,"Abroad")+SUMIFS(Data!$Q$2:$Q$351,Data!$A$2:$A$351,$C$4,Data!$E$2:$E$351,$B23,Data!$G$2:$G$351,"Abroad")+SUMIFS(Data!$R$2:$R$351,Data!$A$2:$A$351,$C$4,Data!$E$2:$E$351,$B23,Data!$G$2:$G$351,"Abroad")+SUMIFS(Data!$S$2:$S$351,Data!$A$2:$A$351,$C$4,Data!$E$2:$E$351,$B23,Data!$G$2:$G$351,"Abroad")))&gt;0,(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O$2:$O$351,Data!$A$2:$A$351,$C$4,Data!$E$2:$E$351,$B23,Data!$G$2:$G$351,"Abroad")+SUMIFS(Data!$P$2:$P$351,Data!$A$2:$A$351,$C$4,Data!$E$2:$E$351,$B23,Data!$G$2:$G$351,"Abroad")+SUMIFS(Data!$Q$2:$Q$351,Data!$A$2:$A$351,$C$4,Data!$E$2:$E$351,$B23,Data!$G$2:$G$351,"Abroad")+SUMIFS(Data!$R$2:$R$351,Data!$A$2:$A$351,$C$4,Data!$E$2:$E$351,$B23,Data!$G$2:$G$351,"Abroad")+SUMIFS(Data!$S$2:$S$351,Data!$A$2:$A$351,$C$4,Data!$E$2:$E$351,$B23,Data!$G$2:$G$351,"Abroad"))),"")</f>
        <v>0.525698409719223</v>
      </c>
      <c r="F23" s="22" t="n">
        <f aca="false">IF(((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O$2:$O$351,Data!$A$2:$A$351,$C$4,Data!$E$2:$E$351,$B23,Data!$G$2:$G$351,"Abroad")+SUMIFS(Data!$P$2:$P$351,Data!$A$2:$A$351,$C$4,Data!$E$2:$E$351,$B23,Data!$G$2:$G$351,"Abroad")+SUMIFS(Data!$Q$2:$Q$351,Data!$A$2:$A$351,$C$4,Data!$E$2:$E$351,$B23,Data!$G$2:$G$351,"Abroad")+SUMIFS(Data!$R$2:$R$351,Data!$A$2:$A$351,$C$4,Data!$E$2:$E$351,$B23,Data!$G$2:$G$351,"Abroad")+SUMIFS(Data!$S$2:$S$351,Data!$A$2:$A$351,$C$4,Data!$E$2:$E$351,$B23,Data!$G$2:$G$351,"Abroad")))&gt;0,((SUMIFS(Data!$H$2:$H$351,Data!$A$2:$A$351,$C$4,Data!$E$2:$E$351,$B23,Data!$G$2:$G$351,"Abroad")+SUMIFS(Data!$I$2:$I$351,Data!$A$2:$A$351,$C$4,Data!$E$2:$E$351,$B23,Data!$G$2:$G$351,"Abroad")+SUMIFS(Data!$J$2:$J$351,Data!$A$2:$A$351,$C$4,Data!$E$2:$E$351,$B23,Data!$G$2:$G$351,"Abroad"))+(SUMIFS(Data!$O$2:$O$351,Data!$A$2:$A$351,$C$4,Data!$E$2:$E$351,$B23,Data!$G$2:$G$351,"Abroad")+SUMIFS(Data!$P$2:$P$351,Data!$A$2:$A$351,$C$4,Data!$E$2:$E$351,$B23,Data!$G$2:$G$351,"Abroad")+SUMIFS(Data!$Q$2:$Q$351,Data!$A$2:$A$351,$C$4,Data!$E$2:$E$351,$B23,Data!$G$2:$G$351,"Abroad")))/((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O$2:$O$351,Data!$A$2:$A$351,$C$4,Data!$E$2:$E$351,$B23,Data!$G$2:$G$351,"Abroad")+SUMIFS(Data!$P$2:$P$351,Data!$A$2:$A$351,$C$4,Data!$E$2:$E$351,$B23,Data!$G$2:$G$351,"Abroad")+SUMIFS(Data!$Q$2:$Q$351,Data!$A$2:$A$351,$C$4,Data!$E$2:$E$351,$B23,Data!$G$2:$G$351,"Abroad")+SUMIFS(Data!$R$2:$R$351,Data!$A$2:$A$351,$C$4,Data!$E$2:$E$351,$B23,Data!$G$2:$G$351,"Abroad")+SUMIFS(Data!$S$2:$S$351,Data!$A$2:$A$351,$C$4,Data!$E$2:$E$351,$B23,Data!$G$2:$G$351,"Abroad"))),"")</f>
        <v>0.316688380820614</v>
      </c>
      <c r="G23" s="22" t="n">
        <f aca="false">IF(((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O$2:$O$351,Data!$A$2:$A$351,$C$4,Data!$E$2:$E$351,$B23,Data!$G$2:$G$351,"Abroad")+SUMIFS(Data!$P$2:$P$351,Data!$A$2:$A$351,$C$4,Data!$E$2:$E$351,$B23,Data!$G$2:$G$351,"Abroad")+SUMIFS(Data!$Q$2:$Q$351,Data!$A$2:$A$351,$C$4,Data!$E$2:$E$351,$B23,Data!$G$2:$G$351,"Abroad")+SUMIFS(Data!$R$2:$R$351,Data!$A$2:$A$351,$C$4,Data!$E$2:$E$351,$B23,Data!$G$2:$G$351,"Abroad")+SUMIFS(Data!$S$2:$S$351,Data!$A$2:$A$351,$C$4,Data!$E$2:$E$351,$B23,Data!$G$2:$G$351,"Abroad")))&gt;0,((SUMIFS(Data!$K$2:$K$351,Data!$A$2:$A$351,$C$4,Data!$E$2:$E$351,$B23,Data!$G$2:$G$351,"Abroad"))+(SUMIFS(Data!$R$2:$R$351,Data!$A$2:$A$351,$C$4,Data!$E$2:$E$351,$B23,Data!$G$2:$G$351,"Abroad")))/((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O$2:$O$351,Data!$A$2:$A$351,$C$4,Data!$E$2:$E$351,$B23,Data!$G$2:$G$351,"Abroad")+SUMIFS(Data!$P$2:$P$351,Data!$A$2:$A$351,$C$4,Data!$E$2:$E$351,$B23,Data!$G$2:$G$351,"Abroad")+SUMIFS(Data!$Q$2:$Q$351,Data!$A$2:$A$351,$C$4,Data!$E$2:$E$351,$B23,Data!$G$2:$G$351,"Abroad")+SUMIFS(Data!$R$2:$R$351,Data!$A$2:$A$351,$C$4,Data!$E$2:$E$351,$B23,Data!$G$2:$G$351,"Abroad")+SUMIFS(Data!$S$2:$S$351,Data!$A$2:$A$351,$C$4,Data!$E$2:$E$351,$B23,Data!$G$2:$G$351,"Abroad"))),"")</f>
        <v>0.655086724402922</v>
      </c>
      <c r="H23" s="22" t="n">
        <f aca="false">IF(((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O$2:$O$351,Data!$A$2:$A$351,$C$4,Data!$E$2:$E$351,$B23,Data!$G$2:$G$351,"Abroad")+SUMIFS(Data!$P$2:$P$351,Data!$A$2:$A$351,$C$4,Data!$E$2:$E$351,$B23,Data!$G$2:$G$351,"Abroad")+SUMIFS(Data!$Q$2:$Q$351,Data!$A$2:$A$351,$C$4,Data!$E$2:$E$351,$B23,Data!$G$2:$G$351,"Abroad")+SUMIFS(Data!$R$2:$R$351,Data!$A$2:$A$351,$C$4,Data!$E$2:$E$351,$B23,Data!$G$2:$G$351,"Abroad")+SUMIFS(Data!$S$2:$S$351,Data!$A$2:$A$351,$C$4,Data!$E$2:$E$351,$B23,Data!$G$2:$G$351,"Abroad")))&gt;0,((SUMIFS(Data!$L$2:$L$351,Data!$A$2:$A$351,$C$4,Data!$E$2:$E$351,$B23,Data!$G$2:$G$351,"Abroad"))+(SUMIFS(Data!$S$2:$S$351,Data!$A$2:$A$351,$C$4,Data!$E$2:$E$351,$B23,Data!$G$2:$G$351,"Abroad")))/((SUMIFS(Data!$H$2:$H$351,Data!$A$2:$A$351,$C$4,Data!$E$2:$E$351,$B23,Data!$G$2:$G$351,"Abroad")+SUMIFS(Data!$I$2:$I$351,Data!$A$2:$A$351,$C$4,Data!$E$2:$E$351,$B23,Data!$G$2:$G$351,"Abroad")+SUMIFS(Data!$J$2:$J$351,Data!$A$2:$A$351,$C$4,Data!$E$2:$E$351,$B23,Data!$G$2:$G$351,"Abroad")+SUMIFS(Data!$K$2:$K$351,Data!$A$2:$A$351,$C$4,Data!$E$2:$E$351,$B23,Data!$G$2:$G$351,"Abroad")+SUMIFS(Data!$L$2:$L$351,Data!$A$2:$A$351,$C$4,Data!$E$2:$E$351,$B23,Data!$G$2:$G$351,"Abroad"))+(SUMIFS(Data!$O$2:$O$351,Data!$A$2:$A$351,$C$4,Data!$E$2:$E$351,$B23,Data!$G$2:$G$351,"Abroad")+SUMIFS(Data!$P$2:$P$351,Data!$A$2:$A$351,$C$4,Data!$E$2:$E$351,$B23,Data!$G$2:$G$351,"Abroad")+SUMIFS(Data!$Q$2:$Q$351,Data!$A$2:$A$351,$C$4,Data!$E$2:$E$351,$B23,Data!$G$2:$G$351,"Abroad")+SUMIFS(Data!$R$2:$R$351,Data!$A$2:$A$351,$C$4,Data!$E$2:$E$351,$B23,Data!$G$2:$G$351,"Abroad")+SUMIFS(Data!$S$2:$S$351,Data!$A$2:$A$351,$C$4,Data!$E$2:$E$351,$B23,Data!$G$2:$G$351,"Abroad"))),"")</f>
        <v>0.0282248947764639</v>
      </c>
    </row>
    <row r="24" customFormat="false" ht="15" hidden="false" customHeight="false" outlineLevel="0" collapsed="false">
      <c r="B24" s="9" t="s">
        <v>80</v>
      </c>
      <c r="C24" s="24" t="n">
        <f aca="false">SUMIFS(Data!$V$2:$V$351,Data!$A$2:$A$351,$C$4,Data!$E$2:$E$351,$B24,Data!$G$2:$G$351,"Abroad")</f>
        <v>1605397</v>
      </c>
      <c r="D24" s="32" t="n">
        <f aca="false">IF(C24&gt;0,SUMIFS(Data!$W$2:$W$351,Data!$A$2:$A$351,$C$4,Data!$E$2:$E$351,$B24,Data!$G$2:$G$351,"Abroad")/C24,0)</f>
        <v>0.632385634207613</v>
      </c>
      <c r="E24" s="22" t="n">
        <f aca="false">IF(((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O$2:$O$351,Data!$A$2:$A$351,$C$4,Data!$E$2:$E$351,$B24,Data!$G$2:$G$351,"Abroad")+SUMIFS(Data!$P$2:$P$351,Data!$A$2:$A$351,$C$4,Data!$E$2:$E$351,$B24,Data!$G$2:$G$351,"Abroad")+SUMIFS(Data!$Q$2:$Q$351,Data!$A$2:$A$351,$C$4,Data!$E$2:$E$351,$B24,Data!$G$2:$G$351,"Abroad")+SUMIFS(Data!$R$2:$R$351,Data!$A$2:$A$351,$C$4,Data!$E$2:$E$351,$B24,Data!$G$2:$G$351,"Abroad")+SUMIFS(Data!$S$2:$S$351,Data!$A$2:$A$351,$C$4,Data!$E$2:$E$351,$B24,Data!$G$2:$G$351,"Abroad")))&gt;0,(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O$2:$O$351,Data!$A$2:$A$351,$C$4,Data!$E$2:$E$351,$B24,Data!$G$2:$G$351,"Abroad")+SUMIFS(Data!$P$2:$P$351,Data!$A$2:$A$351,$C$4,Data!$E$2:$E$351,$B24,Data!$G$2:$G$351,"Abroad")+SUMIFS(Data!$Q$2:$Q$351,Data!$A$2:$A$351,$C$4,Data!$E$2:$E$351,$B24,Data!$G$2:$G$351,"Abroad")+SUMIFS(Data!$R$2:$R$351,Data!$A$2:$A$351,$C$4,Data!$E$2:$E$351,$B24,Data!$G$2:$G$351,"Abroad")+SUMIFS(Data!$S$2:$S$351,Data!$A$2:$A$351,$C$4,Data!$E$2:$E$351,$B24,Data!$G$2:$G$351,"Abroad"))),"")</f>
        <v>0.505399985027404</v>
      </c>
      <c r="F24" s="22" t="n">
        <f aca="false">IF(((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O$2:$O$351,Data!$A$2:$A$351,$C$4,Data!$E$2:$E$351,$B24,Data!$G$2:$G$351,"Abroad")+SUMIFS(Data!$P$2:$P$351,Data!$A$2:$A$351,$C$4,Data!$E$2:$E$351,$B24,Data!$G$2:$G$351,"Abroad")+SUMIFS(Data!$Q$2:$Q$351,Data!$A$2:$A$351,$C$4,Data!$E$2:$E$351,$B24,Data!$G$2:$G$351,"Abroad")+SUMIFS(Data!$R$2:$R$351,Data!$A$2:$A$351,$C$4,Data!$E$2:$E$351,$B24,Data!$G$2:$G$351,"Abroad")+SUMIFS(Data!$S$2:$S$351,Data!$A$2:$A$351,$C$4,Data!$E$2:$E$351,$B24,Data!$G$2:$G$351,"Abroad")))&gt;0,((SUMIFS(Data!$H$2:$H$351,Data!$A$2:$A$351,$C$4,Data!$E$2:$E$351,$B24,Data!$G$2:$G$351,"Abroad")+SUMIFS(Data!$I$2:$I$351,Data!$A$2:$A$351,$C$4,Data!$E$2:$E$351,$B24,Data!$G$2:$G$351,"Abroad")+SUMIFS(Data!$J$2:$J$351,Data!$A$2:$A$351,$C$4,Data!$E$2:$E$351,$B24,Data!$G$2:$G$351,"Abroad"))+(SUMIFS(Data!$O$2:$O$351,Data!$A$2:$A$351,$C$4,Data!$E$2:$E$351,$B24,Data!$G$2:$G$351,"Abroad")+SUMIFS(Data!$P$2:$P$351,Data!$A$2:$A$351,$C$4,Data!$E$2:$E$351,$B24,Data!$G$2:$G$351,"Abroad")+SUMIFS(Data!$Q$2:$Q$351,Data!$A$2:$A$351,$C$4,Data!$E$2:$E$351,$B24,Data!$G$2:$G$351,"Abroad")))/((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O$2:$O$351,Data!$A$2:$A$351,$C$4,Data!$E$2:$E$351,$B24,Data!$G$2:$G$351,"Abroad")+SUMIFS(Data!$P$2:$P$351,Data!$A$2:$A$351,$C$4,Data!$E$2:$E$351,$B24,Data!$G$2:$G$351,"Abroad")+SUMIFS(Data!$Q$2:$Q$351,Data!$A$2:$A$351,$C$4,Data!$E$2:$E$351,$B24,Data!$G$2:$G$351,"Abroad")+SUMIFS(Data!$R$2:$R$351,Data!$A$2:$A$351,$C$4,Data!$E$2:$E$351,$B24,Data!$G$2:$G$351,"Abroad")+SUMIFS(Data!$S$2:$S$351,Data!$A$2:$A$351,$C$4,Data!$E$2:$E$351,$B24,Data!$G$2:$G$351,"Abroad"))),"")</f>
        <v>0.203838106833414</v>
      </c>
      <c r="G24" s="22" t="n">
        <f aca="false">IF(((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O$2:$O$351,Data!$A$2:$A$351,$C$4,Data!$E$2:$E$351,$B24,Data!$G$2:$G$351,"Abroad")+SUMIFS(Data!$P$2:$P$351,Data!$A$2:$A$351,$C$4,Data!$E$2:$E$351,$B24,Data!$G$2:$G$351,"Abroad")+SUMIFS(Data!$Q$2:$Q$351,Data!$A$2:$A$351,$C$4,Data!$E$2:$E$351,$B24,Data!$G$2:$G$351,"Abroad")+SUMIFS(Data!$R$2:$R$351,Data!$A$2:$A$351,$C$4,Data!$E$2:$E$351,$B24,Data!$G$2:$G$351,"Abroad")+SUMIFS(Data!$S$2:$S$351,Data!$A$2:$A$351,$C$4,Data!$E$2:$E$351,$B24,Data!$G$2:$G$351,"Abroad")))&gt;0,((SUMIFS(Data!$K$2:$K$351,Data!$A$2:$A$351,$C$4,Data!$E$2:$E$351,$B24,Data!$G$2:$G$351,"Abroad"))+(SUMIFS(Data!$R$2:$R$351,Data!$A$2:$A$351,$C$4,Data!$E$2:$E$351,$B24,Data!$G$2:$G$351,"Abroad")))/((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O$2:$O$351,Data!$A$2:$A$351,$C$4,Data!$E$2:$E$351,$B24,Data!$G$2:$G$351,"Abroad")+SUMIFS(Data!$P$2:$P$351,Data!$A$2:$A$351,$C$4,Data!$E$2:$E$351,$B24,Data!$G$2:$G$351,"Abroad")+SUMIFS(Data!$Q$2:$Q$351,Data!$A$2:$A$351,$C$4,Data!$E$2:$E$351,$B24,Data!$G$2:$G$351,"Abroad")+SUMIFS(Data!$R$2:$R$351,Data!$A$2:$A$351,$C$4,Data!$E$2:$E$351,$B24,Data!$G$2:$G$351,"Abroad")+SUMIFS(Data!$S$2:$S$351,Data!$A$2:$A$351,$C$4,Data!$E$2:$E$351,$B24,Data!$G$2:$G$351,"Abroad"))),"")</f>
        <v>0.745677647883939</v>
      </c>
      <c r="H24" s="22" t="n">
        <f aca="false">IF(((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O$2:$O$351,Data!$A$2:$A$351,$C$4,Data!$E$2:$E$351,$B24,Data!$G$2:$G$351,"Abroad")+SUMIFS(Data!$P$2:$P$351,Data!$A$2:$A$351,$C$4,Data!$E$2:$E$351,$B24,Data!$G$2:$G$351,"Abroad")+SUMIFS(Data!$Q$2:$Q$351,Data!$A$2:$A$351,$C$4,Data!$E$2:$E$351,$B24,Data!$G$2:$G$351,"Abroad")+SUMIFS(Data!$R$2:$R$351,Data!$A$2:$A$351,$C$4,Data!$E$2:$E$351,$B24,Data!$G$2:$G$351,"Abroad")+SUMIFS(Data!$S$2:$S$351,Data!$A$2:$A$351,$C$4,Data!$E$2:$E$351,$B24,Data!$G$2:$G$351,"Abroad")))&gt;0,((SUMIFS(Data!$L$2:$L$351,Data!$A$2:$A$351,$C$4,Data!$E$2:$E$351,$B24,Data!$G$2:$G$351,"Abroad"))+(SUMIFS(Data!$S$2:$S$351,Data!$A$2:$A$351,$C$4,Data!$E$2:$E$351,$B24,Data!$G$2:$G$351,"Abroad")))/((SUMIFS(Data!$H$2:$H$351,Data!$A$2:$A$351,$C$4,Data!$E$2:$E$351,$B24,Data!$G$2:$G$351,"Abroad")+SUMIFS(Data!$I$2:$I$351,Data!$A$2:$A$351,$C$4,Data!$E$2:$E$351,$B24,Data!$G$2:$G$351,"Abroad")+SUMIFS(Data!$J$2:$J$351,Data!$A$2:$A$351,$C$4,Data!$E$2:$E$351,$B24,Data!$G$2:$G$351,"Abroad")+SUMIFS(Data!$K$2:$K$351,Data!$A$2:$A$351,$C$4,Data!$E$2:$E$351,$B24,Data!$G$2:$G$351,"Abroad")+SUMIFS(Data!$L$2:$L$351,Data!$A$2:$A$351,$C$4,Data!$E$2:$E$351,$B24,Data!$G$2:$G$351,"Abroad"))+(SUMIFS(Data!$O$2:$O$351,Data!$A$2:$A$351,$C$4,Data!$E$2:$E$351,$B24,Data!$G$2:$G$351,"Abroad")+SUMIFS(Data!$P$2:$P$351,Data!$A$2:$A$351,$C$4,Data!$E$2:$E$351,$B24,Data!$G$2:$G$351,"Abroad")+SUMIFS(Data!$Q$2:$Q$351,Data!$A$2:$A$351,$C$4,Data!$E$2:$E$351,$B24,Data!$G$2:$G$351,"Abroad")+SUMIFS(Data!$R$2:$R$351,Data!$A$2:$A$351,$C$4,Data!$E$2:$E$351,$B24,Data!$G$2:$G$351,"Abroad")+SUMIFS(Data!$S$2:$S$351,Data!$A$2:$A$351,$C$4,Data!$E$2:$E$351,$B24,Data!$G$2:$G$351,"Abroad"))),"")</f>
        <v>0.0504842452826472</v>
      </c>
    </row>
    <row r="25" customFormat="false" ht="15" hidden="false" customHeight="false" outlineLevel="0" collapsed="false">
      <c r="B25" s="9" t="s">
        <v>81</v>
      </c>
      <c r="C25" s="24" t="n">
        <f aca="false">SUMIFS(Data!$V$2:$V$351,Data!$A$2:$A$351,$C$4,Data!$E$2:$E$351,$B25,Data!$G$2:$G$351,"Abroad")</f>
        <v>227881</v>
      </c>
      <c r="D25" s="32" t="n">
        <f aca="false">IF(C25&gt;0,SUMIFS(Data!$W$2:$W$351,Data!$A$2:$A$351,$C$4,Data!$E$2:$E$351,$B25,Data!$G$2:$G$351,"Abroad")/C25,0)</f>
        <v>0.631017943575814</v>
      </c>
      <c r="E25" s="22" t="n">
        <f aca="false">IF(((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O$2:$O$351,Data!$A$2:$A$351,$C$4,Data!$E$2:$E$351,$B25,Data!$G$2:$G$351,"Abroad")+SUMIFS(Data!$P$2:$P$351,Data!$A$2:$A$351,$C$4,Data!$E$2:$E$351,$B25,Data!$G$2:$G$351,"Abroad")+SUMIFS(Data!$Q$2:$Q$351,Data!$A$2:$A$351,$C$4,Data!$E$2:$E$351,$B25,Data!$G$2:$G$351,"Abroad")+SUMIFS(Data!$R$2:$R$351,Data!$A$2:$A$351,$C$4,Data!$E$2:$E$351,$B25,Data!$G$2:$G$351,"Abroad")+SUMIFS(Data!$S$2:$S$351,Data!$A$2:$A$351,$C$4,Data!$E$2:$E$351,$B25,Data!$G$2:$G$351,"Abroad")))&gt;0,(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O$2:$O$351,Data!$A$2:$A$351,$C$4,Data!$E$2:$E$351,$B25,Data!$G$2:$G$351,"Abroad")+SUMIFS(Data!$P$2:$P$351,Data!$A$2:$A$351,$C$4,Data!$E$2:$E$351,$B25,Data!$G$2:$G$351,"Abroad")+SUMIFS(Data!$Q$2:$Q$351,Data!$A$2:$A$351,$C$4,Data!$E$2:$E$351,$B25,Data!$G$2:$G$351,"Abroad")+SUMIFS(Data!$R$2:$R$351,Data!$A$2:$A$351,$C$4,Data!$E$2:$E$351,$B25,Data!$G$2:$G$351,"Abroad")+SUMIFS(Data!$S$2:$S$351,Data!$A$2:$A$351,$C$4,Data!$E$2:$E$351,$B25,Data!$G$2:$G$351,"Abroad"))),"")</f>
        <v>0.490395442526962</v>
      </c>
      <c r="F25" s="22" t="n">
        <f aca="false">IF(((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O$2:$O$351,Data!$A$2:$A$351,$C$4,Data!$E$2:$E$351,$B25,Data!$G$2:$G$351,"Abroad")+SUMIFS(Data!$P$2:$P$351,Data!$A$2:$A$351,$C$4,Data!$E$2:$E$351,$B25,Data!$G$2:$G$351,"Abroad")+SUMIFS(Data!$Q$2:$Q$351,Data!$A$2:$A$351,$C$4,Data!$E$2:$E$351,$B25,Data!$G$2:$G$351,"Abroad")+SUMIFS(Data!$R$2:$R$351,Data!$A$2:$A$351,$C$4,Data!$E$2:$E$351,$B25,Data!$G$2:$G$351,"Abroad")+SUMIFS(Data!$S$2:$S$351,Data!$A$2:$A$351,$C$4,Data!$E$2:$E$351,$B25,Data!$G$2:$G$351,"Abroad")))&gt;0,((SUMIFS(Data!$H$2:$H$351,Data!$A$2:$A$351,$C$4,Data!$E$2:$E$351,$B25,Data!$G$2:$G$351,"Abroad")+SUMIFS(Data!$I$2:$I$351,Data!$A$2:$A$351,$C$4,Data!$E$2:$E$351,$B25,Data!$G$2:$G$351,"Abroad")+SUMIFS(Data!$J$2:$J$351,Data!$A$2:$A$351,$C$4,Data!$E$2:$E$351,$B25,Data!$G$2:$G$351,"Abroad"))+(SUMIFS(Data!$O$2:$O$351,Data!$A$2:$A$351,$C$4,Data!$E$2:$E$351,$B25,Data!$G$2:$G$351,"Abroad")+SUMIFS(Data!$P$2:$P$351,Data!$A$2:$A$351,$C$4,Data!$E$2:$E$351,$B25,Data!$G$2:$G$351,"Abroad")+SUMIFS(Data!$Q$2:$Q$351,Data!$A$2:$A$351,$C$4,Data!$E$2:$E$351,$B25,Data!$G$2:$G$351,"Abroad")))/((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O$2:$O$351,Data!$A$2:$A$351,$C$4,Data!$E$2:$E$351,$B25,Data!$G$2:$G$351,"Abroad")+SUMIFS(Data!$P$2:$P$351,Data!$A$2:$A$351,$C$4,Data!$E$2:$E$351,$B25,Data!$G$2:$G$351,"Abroad")+SUMIFS(Data!$Q$2:$Q$351,Data!$A$2:$A$351,$C$4,Data!$E$2:$E$351,$B25,Data!$G$2:$G$351,"Abroad")+SUMIFS(Data!$R$2:$R$351,Data!$A$2:$A$351,$C$4,Data!$E$2:$E$351,$B25,Data!$G$2:$G$351,"Abroad")+SUMIFS(Data!$S$2:$S$351,Data!$A$2:$A$351,$C$4,Data!$E$2:$E$351,$B25,Data!$G$2:$G$351,"Abroad"))),"")</f>
        <v>0.191974376725526</v>
      </c>
      <c r="G25" s="22" t="n">
        <f aca="false">IF(((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O$2:$O$351,Data!$A$2:$A$351,$C$4,Data!$E$2:$E$351,$B25,Data!$G$2:$G$351,"Abroad")+SUMIFS(Data!$P$2:$P$351,Data!$A$2:$A$351,$C$4,Data!$E$2:$E$351,$B25,Data!$G$2:$G$351,"Abroad")+SUMIFS(Data!$Q$2:$Q$351,Data!$A$2:$A$351,$C$4,Data!$E$2:$E$351,$B25,Data!$G$2:$G$351,"Abroad")+SUMIFS(Data!$R$2:$R$351,Data!$A$2:$A$351,$C$4,Data!$E$2:$E$351,$B25,Data!$G$2:$G$351,"Abroad")+SUMIFS(Data!$S$2:$S$351,Data!$A$2:$A$351,$C$4,Data!$E$2:$E$351,$B25,Data!$G$2:$G$351,"Abroad")))&gt;0,((SUMIFS(Data!$K$2:$K$351,Data!$A$2:$A$351,$C$4,Data!$E$2:$E$351,$B25,Data!$G$2:$G$351,"Abroad"))+(SUMIFS(Data!$R$2:$R$351,Data!$A$2:$A$351,$C$4,Data!$E$2:$E$351,$B25,Data!$G$2:$G$351,"Abroad")))/((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O$2:$O$351,Data!$A$2:$A$351,$C$4,Data!$E$2:$E$351,$B25,Data!$G$2:$G$351,"Abroad")+SUMIFS(Data!$P$2:$P$351,Data!$A$2:$A$351,$C$4,Data!$E$2:$E$351,$B25,Data!$G$2:$G$351,"Abroad")+SUMIFS(Data!$Q$2:$Q$351,Data!$A$2:$A$351,$C$4,Data!$E$2:$E$351,$B25,Data!$G$2:$G$351,"Abroad")+SUMIFS(Data!$R$2:$R$351,Data!$A$2:$A$351,$C$4,Data!$E$2:$E$351,$B25,Data!$G$2:$G$351,"Abroad")+SUMIFS(Data!$S$2:$S$351,Data!$A$2:$A$351,$C$4,Data!$E$2:$E$351,$B25,Data!$G$2:$G$351,"Abroad"))),"")</f>
        <v>0.757004278886655</v>
      </c>
      <c r="H25" s="22" t="n">
        <f aca="false">IF(((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O$2:$O$351,Data!$A$2:$A$351,$C$4,Data!$E$2:$E$351,$B25,Data!$G$2:$G$351,"Abroad")+SUMIFS(Data!$P$2:$P$351,Data!$A$2:$A$351,$C$4,Data!$E$2:$E$351,$B25,Data!$G$2:$G$351,"Abroad")+SUMIFS(Data!$Q$2:$Q$351,Data!$A$2:$A$351,$C$4,Data!$E$2:$E$351,$B25,Data!$G$2:$G$351,"Abroad")+SUMIFS(Data!$R$2:$R$351,Data!$A$2:$A$351,$C$4,Data!$E$2:$E$351,$B25,Data!$G$2:$G$351,"Abroad")+SUMIFS(Data!$S$2:$S$351,Data!$A$2:$A$351,$C$4,Data!$E$2:$E$351,$B25,Data!$G$2:$G$351,"Abroad")))&gt;0,((SUMIFS(Data!$L$2:$L$351,Data!$A$2:$A$351,$C$4,Data!$E$2:$E$351,$B25,Data!$G$2:$G$351,"Abroad"))+(SUMIFS(Data!$S$2:$S$351,Data!$A$2:$A$351,$C$4,Data!$E$2:$E$351,$B25,Data!$G$2:$G$351,"Abroad")))/((SUMIFS(Data!$H$2:$H$351,Data!$A$2:$A$351,$C$4,Data!$E$2:$E$351,$B25,Data!$G$2:$G$351,"Abroad")+SUMIFS(Data!$I$2:$I$351,Data!$A$2:$A$351,$C$4,Data!$E$2:$E$351,$B25,Data!$G$2:$G$351,"Abroad")+SUMIFS(Data!$J$2:$J$351,Data!$A$2:$A$351,$C$4,Data!$E$2:$E$351,$B25,Data!$G$2:$G$351,"Abroad")+SUMIFS(Data!$K$2:$K$351,Data!$A$2:$A$351,$C$4,Data!$E$2:$E$351,$B25,Data!$G$2:$G$351,"Abroad")+SUMIFS(Data!$L$2:$L$351,Data!$A$2:$A$351,$C$4,Data!$E$2:$E$351,$B25,Data!$G$2:$G$351,"Abroad"))+(SUMIFS(Data!$O$2:$O$351,Data!$A$2:$A$351,$C$4,Data!$E$2:$E$351,$B25,Data!$G$2:$G$351,"Abroad")+SUMIFS(Data!$P$2:$P$351,Data!$A$2:$A$351,$C$4,Data!$E$2:$E$351,$B25,Data!$G$2:$G$351,"Abroad")+SUMIFS(Data!$Q$2:$Q$351,Data!$A$2:$A$351,$C$4,Data!$E$2:$E$351,$B25,Data!$G$2:$G$351,"Abroad")+SUMIFS(Data!$R$2:$R$351,Data!$A$2:$A$351,$C$4,Data!$E$2:$E$351,$B25,Data!$G$2:$G$351,"Abroad")+SUMIFS(Data!$S$2:$S$351,Data!$A$2:$A$351,$C$4,Data!$E$2:$E$351,$B25,Data!$G$2:$G$351,"Abroad"))),"")</f>
        <v>0.0510213443878189</v>
      </c>
    </row>
    <row r="26" customFormat="false" ht="15" hidden="false" customHeight="false" outlineLevel="0" collapsed="false">
      <c r="B26" s="9" t="s">
        <v>82</v>
      </c>
      <c r="C26" s="24" t="n">
        <f aca="false">SUMIFS(Data!$V$2:$V$351,Data!$A$2:$A$351,$C$4,Data!$E$2:$E$351,$B26,Data!$G$2:$G$351,"Abroad")</f>
        <v>168580</v>
      </c>
      <c r="D26" s="32" t="n">
        <f aca="false">IF(C26&gt;0,SUMIFS(Data!$W$2:$W$351,Data!$A$2:$A$351,$C$4,Data!$E$2:$E$351,$B26,Data!$G$2:$G$351,"Abroad")/C26,0)</f>
        <v>0.142857990271681</v>
      </c>
      <c r="E26" s="22" t="n">
        <f aca="false">IF(((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O$2:$O$351,Data!$A$2:$A$351,$C$4,Data!$E$2:$E$351,$B26,Data!$G$2:$G$351,"Abroad")+SUMIFS(Data!$P$2:$P$351,Data!$A$2:$A$351,$C$4,Data!$E$2:$E$351,$B26,Data!$G$2:$G$351,"Abroad")+SUMIFS(Data!$Q$2:$Q$351,Data!$A$2:$A$351,$C$4,Data!$E$2:$E$351,$B26,Data!$G$2:$G$351,"Abroad")+SUMIFS(Data!$R$2:$R$351,Data!$A$2:$A$351,$C$4,Data!$E$2:$E$351,$B26,Data!$G$2:$G$351,"Abroad")+SUMIFS(Data!$S$2:$S$351,Data!$A$2:$A$351,$C$4,Data!$E$2:$E$351,$B26,Data!$G$2:$G$351,"Abroad")))&gt;0,(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O$2:$O$351,Data!$A$2:$A$351,$C$4,Data!$E$2:$E$351,$B26,Data!$G$2:$G$351,"Abroad")+SUMIFS(Data!$P$2:$P$351,Data!$A$2:$A$351,$C$4,Data!$E$2:$E$351,$B26,Data!$G$2:$G$351,"Abroad")+SUMIFS(Data!$Q$2:$Q$351,Data!$A$2:$A$351,$C$4,Data!$E$2:$E$351,$B26,Data!$G$2:$G$351,"Abroad")+SUMIFS(Data!$R$2:$R$351,Data!$A$2:$A$351,$C$4,Data!$E$2:$E$351,$B26,Data!$G$2:$G$351,"Abroad")+SUMIFS(Data!$S$2:$S$351,Data!$A$2:$A$351,$C$4,Data!$E$2:$E$351,$B26,Data!$G$2:$G$351,"Abroad"))),"")</f>
        <v>0.662974683544304</v>
      </c>
      <c r="F26" s="22" t="n">
        <f aca="false">IF(((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O$2:$O$351,Data!$A$2:$A$351,$C$4,Data!$E$2:$E$351,$B26,Data!$G$2:$G$351,"Abroad")+SUMIFS(Data!$P$2:$P$351,Data!$A$2:$A$351,$C$4,Data!$E$2:$E$351,$B26,Data!$G$2:$G$351,"Abroad")+SUMIFS(Data!$Q$2:$Q$351,Data!$A$2:$A$351,$C$4,Data!$E$2:$E$351,$B26,Data!$G$2:$G$351,"Abroad")+SUMIFS(Data!$R$2:$R$351,Data!$A$2:$A$351,$C$4,Data!$E$2:$E$351,$B26,Data!$G$2:$G$351,"Abroad")+SUMIFS(Data!$S$2:$S$351,Data!$A$2:$A$351,$C$4,Data!$E$2:$E$351,$B26,Data!$G$2:$G$351,"Abroad")))&gt;0,((SUMIFS(Data!$H$2:$H$351,Data!$A$2:$A$351,$C$4,Data!$E$2:$E$351,$B26,Data!$G$2:$G$351,"Abroad")+SUMIFS(Data!$I$2:$I$351,Data!$A$2:$A$351,$C$4,Data!$E$2:$E$351,$B26,Data!$G$2:$G$351,"Abroad")+SUMIFS(Data!$J$2:$J$351,Data!$A$2:$A$351,$C$4,Data!$E$2:$E$351,$B26,Data!$G$2:$G$351,"Abroad"))+(SUMIFS(Data!$O$2:$O$351,Data!$A$2:$A$351,$C$4,Data!$E$2:$E$351,$B26,Data!$G$2:$G$351,"Abroad")+SUMIFS(Data!$P$2:$P$351,Data!$A$2:$A$351,$C$4,Data!$E$2:$E$351,$B26,Data!$G$2:$G$351,"Abroad")+SUMIFS(Data!$Q$2:$Q$351,Data!$A$2:$A$351,$C$4,Data!$E$2:$E$351,$B26,Data!$G$2:$G$351,"Abroad")))/((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O$2:$O$351,Data!$A$2:$A$351,$C$4,Data!$E$2:$E$351,$B26,Data!$G$2:$G$351,"Abroad")+SUMIFS(Data!$P$2:$P$351,Data!$A$2:$A$351,$C$4,Data!$E$2:$E$351,$B26,Data!$G$2:$G$351,"Abroad")+SUMIFS(Data!$Q$2:$Q$351,Data!$A$2:$A$351,$C$4,Data!$E$2:$E$351,$B26,Data!$G$2:$G$351,"Abroad")+SUMIFS(Data!$R$2:$R$351,Data!$A$2:$A$351,$C$4,Data!$E$2:$E$351,$B26,Data!$G$2:$G$351,"Abroad")+SUMIFS(Data!$S$2:$S$351,Data!$A$2:$A$351,$C$4,Data!$E$2:$E$351,$B26,Data!$G$2:$G$351,"Abroad"))),"")</f>
        <v>0.159810126582278</v>
      </c>
      <c r="G26" s="22" t="n">
        <f aca="false">IF(((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O$2:$O$351,Data!$A$2:$A$351,$C$4,Data!$E$2:$E$351,$B26,Data!$G$2:$G$351,"Abroad")+SUMIFS(Data!$P$2:$P$351,Data!$A$2:$A$351,$C$4,Data!$E$2:$E$351,$B26,Data!$G$2:$G$351,"Abroad")+SUMIFS(Data!$Q$2:$Q$351,Data!$A$2:$A$351,$C$4,Data!$E$2:$E$351,$B26,Data!$G$2:$G$351,"Abroad")+SUMIFS(Data!$R$2:$R$351,Data!$A$2:$A$351,$C$4,Data!$E$2:$E$351,$B26,Data!$G$2:$G$351,"Abroad")+SUMIFS(Data!$S$2:$S$351,Data!$A$2:$A$351,$C$4,Data!$E$2:$E$351,$B26,Data!$G$2:$G$351,"Abroad")))&gt;0,((SUMIFS(Data!$K$2:$K$351,Data!$A$2:$A$351,$C$4,Data!$E$2:$E$351,$B26,Data!$G$2:$G$351,"Abroad"))+(SUMIFS(Data!$R$2:$R$351,Data!$A$2:$A$351,$C$4,Data!$E$2:$E$351,$B26,Data!$G$2:$G$351,"Abroad")))/((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O$2:$O$351,Data!$A$2:$A$351,$C$4,Data!$E$2:$E$351,$B26,Data!$G$2:$G$351,"Abroad")+SUMIFS(Data!$P$2:$P$351,Data!$A$2:$A$351,$C$4,Data!$E$2:$E$351,$B26,Data!$G$2:$G$351,"Abroad")+SUMIFS(Data!$Q$2:$Q$351,Data!$A$2:$A$351,$C$4,Data!$E$2:$E$351,$B26,Data!$G$2:$G$351,"Abroad")+SUMIFS(Data!$R$2:$R$351,Data!$A$2:$A$351,$C$4,Data!$E$2:$E$351,$B26,Data!$G$2:$G$351,"Abroad")+SUMIFS(Data!$S$2:$S$351,Data!$A$2:$A$351,$C$4,Data!$E$2:$E$351,$B26,Data!$G$2:$G$351,"Abroad"))),"")</f>
        <v>0.824367088607595</v>
      </c>
      <c r="H26" s="22" t="n">
        <f aca="false">IF(((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O$2:$O$351,Data!$A$2:$A$351,$C$4,Data!$E$2:$E$351,$B26,Data!$G$2:$G$351,"Abroad")+SUMIFS(Data!$P$2:$P$351,Data!$A$2:$A$351,$C$4,Data!$E$2:$E$351,$B26,Data!$G$2:$G$351,"Abroad")+SUMIFS(Data!$Q$2:$Q$351,Data!$A$2:$A$351,$C$4,Data!$E$2:$E$351,$B26,Data!$G$2:$G$351,"Abroad")+SUMIFS(Data!$R$2:$R$351,Data!$A$2:$A$351,$C$4,Data!$E$2:$E$351,$B26,Data!$G$2:$G$351,"Abroad")+SUMIFS(Data!$S$2:$S$351,Data!$A$2:$A$351,$C$4,Data!$E$2:$E$351,$B26,Data!$G$2:$G$351,"Abroad")))&gt;0,((SUMIFS(Data!$L$2:$L$351,Data!$A$2:$A$351,$C$4,Data!$E$2:$E$351,$B26,Data!$G$2:$G$351,"Abroad"))+(SUMIFS(Data!$S$2:$S$351,Data!$A$2:$A$351,$C$4,Data!$E$2:$E$351,$B26,Data!$G$2:$G$351,"Abroad")))/((SUMIFS(Data!$H$2:$H$351,Data!$A$2:$A$351,$C$4,Data!$E$2:$E$351,$B26,Data!$G$2:$G$351,"Abroad")+SUMIFS(Data!$I$2:$I$351,Data!$A$2:$A$351,$C$4,Data!$E$2:$E$351,$B26,Data!$G$2:$G$351,"Abroad")+SUMIFS(Data!$J$2:$J$351,Data!$A$2:$A$351,$C$4,Data!$E$2:$E$351,$B26,Data!$G$2:$G$351,"Abroad")+SUMIFS(Data!$K$2:$K$351,Data!$A$2:$A$351,$C$4,Data!$E$2:$E$351,$B26,Data!$G$2:$G$351,"Abroad")+SUMIFS(Data!$L$2:$L$351,Data!$A$2:$A$351,$C$4,Data!$E$2:$E$351,$B26,Data!$G$2:$G$351,"Abroad"))+(SUMIFS(Data!$O$2:$O$351,Data!$A$2:$A$351,$C$4,Data!$E$2:$E$351,$B26,Data!$G$2:$G$351,"Abroad")+SUMIFS(Data!$P$2:$P$351,Data!$A$2:$A$351,$C$4,Data!$E$2:$E$351,$B26,Data!$G$2:$G$351,"Abroad")+SUMIFS(Data!$Q$2:$Q$351,Data!$A$2:$A$351,$C$4,Data!$E$2:$E$351,$B26,Data!$G$2:$G$351,"Abroad")+SUMIFS(Data!$R$2:$R$351,Data!$A$2:$A$351,$C$4,Data!$E$2:$E$351,$B26,Data!$G$2:$G$351,"Abroad")+SUMIFS(Data!$S$2:$S$351,Data!$A$2:$A$351,$C$4,Data!$E$2:$E$351,$B26,Data!$G$2:$G$351,"Abroad"))),"")</f>
        <v>0.0158227848101266</v>
      </c>
    </row>
    <row r="27" customFormat="false" ht="15" hidden="false" customHeight="false" outlineLevel="0" collapsed="false">
      <c r="B27" s="9" t="s">
        <v>83</v>
      </c>
      <c r="C27" s="24" t="n">
        <f aca="false">SUMIFS(Data!$V$2:$V$351,Data!$A$2:$A$351,$C$4,Data!$E$2:$E$351,$B27,Data!$G$2:$G$351,"Abroad")</f>
        <v>442734</v>
      </c>
      <c r="D27" s="32" t="n">
        <f aca="false">IF(C27&gt;0,SUMIFS(Data!$W$2:$W$351,Data!$A$2:$A$351,$C$4,Data!$E$2:$E$351,$B27,Data!$G$2:$G$351,"Abroad")/C27,0)</f>
        <v>0.0167956380128926</v>
      </c>
      <c r="E27" s="22" t="n">
        <f aca="false">IF(((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O$2:$O$351,Data!$A$2:$A$351,$C$4,Data!$E$2:$E$351,$B27,Data!$G$2:$G$351,"Abroad")+SUMIFS(Data!$P$2:$P$351,Data!$A$2:$A$351,$C$4,Data!$E$2:$E$351,$B27,Data!$G$2:$G$351,"Abroad")+SUMIFS(Data!$Q$2:$Q$351,Data!$A$2:$A$351,$C$4,Data!$E$2:$E$351,$B27,Data!$G$2:$G$351,"Abroad")+SUMIFS(Data!$R$2:$R$351,Data!$A$2:$A$351,$C$4,Data!$E$2:$E$351,$B27,Data!$G$2:$G$351,"Abroad")+SUMIFS(Data!$S$2:$S$351,Data!$A$2:$A$351,$C$4,Data!$E$2:$E$351,$B27,Data!$G$2:$G$351,"Abroad")))&gt;0,(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O$2:$O$351,Data!$A$2:$A$351,$C$4,Data!$E$2:$E$351,$B27,Data!$G$2:$G$351,"Abroad")+SUMIFS(Data!$P$2:$P$351,Data!$A$2:$A$351,$C$4,Data!$E$2:$E$351,$B27,Data!$G$2:$G$351,"Abroad")+SUMIFS(Data!$Q$2:$Q$351,Data!$A$2:$A$351,$C$4,Data!$E$2:$E$351,$B27,Data!$G$2:$G$351,"Abroad")+SUMIFS(Data!$R$2:$R$351,Data!$A$2:$A$351,$C$4,Data!$E$2:$E$351,$B27,Data!$G$2:$G$351,"Abroad")+SUMIFS(Data!$S$2:$S$351,Data!$A$2:$A$351,$C$4,Data!$E$2:$E$351,$B27,Data!$G$2:$G$351,"Abroad"))),"")</f>
        <v>0.451918522027475</v>
      </c>
      <c r="F27" s="22" t="n">
        <f aca="false">IF(((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O$2:$O$351,Data!$A$2:$A$351,$C$4,Data!$E$2:$E$351,$B27,Data!$G$2:$G$351,"Abroad")+SUMIFS(Data!$P$2:$P$351,Data!$A$2:$A$351,$C$4,Data!$E$2:$E$351,$B27,Data!$G$2:$G$351,"Abroad")+SUMIFS(Data!$Q$2:$Q$351,Data!$A$2:$A$351,$C$4,Data!$E$2:$E$351,$B27,Data!$G$2:$G$351,"Abroad")+SUMIFS(Data!$R$2:$R$351,Data!$A$2:$A$351,$C$4,Data!$E$2:$E$351,$B27,Data!$G$2:$G$351,"Abroad")+SUMIFS(Data!$S$2:$S$351,Data!$A$2:$A$351,$C$4,Data!$E$2:$E$351,$B27,Data!$G$2:$G$351,"Abroad")))&gt;0,((SUMIFS(Data!$H$2:$H$351,Data!$A$2:$A$351,$C$4,Data!$E$2:$E$351,$B27,Data!$G$2:$G$351,"Abroad")+SUMIFS(Data!$I$2:$I$351,Data!$A$2:$A$351,$C$4,Data!$E$2:$E$351,$B27,Data!$G$2:$G$351,"Abroad")+SUMIFS(Data!$J$2:$J$351,Data!$A$2:$A$351,$C$4,Data!$E$2:$E$351,$B27,Data!$G$2:$G$351,"Abroad"))+(SUMIFS(Data!$O$2:$O$351,Data!$A$2:$A$351,$C$4,Data!$E$2:$E$351,$B27,Data!$G$2:$G$351,"Abroad")+SUMIFS(Data!$P$2:$P$351,Data!$A$2:$A$351,$C$4,Data!$E$2:$E$351,$B27,Data!$G$2:$G$351,"Abroad")+SUMIFS(Data!$Q$2:$Q$351,Data!$A$2:$A$351,$C$4,Data!$E$2:$E$351,$B27,Data!$G$2:$G$351,"Abroad")))/((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O$2:$O$351,Data!$A$2:$A$351,$C$4,Data!$E$2:$E$351,$B27,Data!$G$2:$G$351,"Abroad")+SUMIFS(Data!$P$2:$P$351,Data!$A$2:$A$351,$C$4,Data!$E$2:$E$351,$B27,Data!$G$2:$G$351,"Abroad")+SUMIFS(Data!$Q$2:$Q$351,Data!$A$2:$A$351,$C$4,Data!$E$2:$E$351,$B27,Data!$G$2:$G$351,"Abroad")+SUMIFS(Data!$R$2:$R$351,Data!$A$2:$A$351,$C$4,Data!$E$2:$E$351,$B27,Data!$G$2:$G$351,"Abroad")+SUMIFS(Data!$S$2:$S$351,Data!$A$2:$A$351,$C$4,Data!$E$2:$E$351,$B27,Data!$G$2:$G$351,"Abroad"))),"")</f>
        <v>0.214432338544134</v>
      </c>
      <c r="G27" s="22" t="n">
        <f aca="false">IF(((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O$2:$O$351,Data!$A$2:$A$351,$C$4,Data!$E$2:$E$351,$B27,Data!$G$2:$G$351,"Abroad")+SUMIFS(Data!$P$2:$P$351,Data!$A$2:$A$351,$C$4,Data!$E$2:$E$351,$B27,Data!$G$2:$G$351,"Abroad")+SUMIFS(Data!$Q$2:$Q$351,Data!$A$2:$A$351,$C$4,Data!$E$2:$E$351,$B27,Data!$G$2:$G$351,"Abroad")+SUMIFS(Data!$R$2:$R$351,Data!$A$2:$A$351,$C$4,Data!$E$2:$E$351,$B27,Data!$G$2:$G$351,"Abroad")+SUMIFS(Data!$S$2:$S$351,Data!$A$2:$A$351,$C$4,Data!$E$2:$E$351,$B27,Data!$G$2:$G$351,"Abroad")))&gt;0,((SUMIFS(Data!$K$2:$K$351,Data!$A$2:$A$351,$C$4,Data!$E$2:$E$351,$B27,Data!$G$2:$G$351,"Abroad"))+(SUMIFS(Data!$R$2:$R$351,Data!$A$2:$A$351,$C$4,Data!$E$2:$E$351,$B27,Data!$G$2:$G$351,"Abroad")))/((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O$2:$O$351,Data!$A$2:$A$351,$C$4,Data!$E$2:$E$351,$B27,Data!$G$2:$G$351,"Abroad")+SUMIFS(Data!$P$2:$P$351,Data!$A$2:$A$351,$C$4,Data!$E$2:$E$351,$B27,Data!$G$2:$G$351,"Abroad")+SUMIFS(Data!$Q$2:$Q$351,Data!$A$2:$A$351,$C$4,Data!$E$2:$E$351,$B27,Data!$G$2:$G$351,"Abroad")+SUMIFS(Data!$R$2:$R$351,Data!$A$2:$A$351,$C$4,Data!$E$2:$E$351,$B27,Data!$G$2:$G$351,"Abroad")+SUMIFS(Data!$S$2:$S$351,Data!$A$2:$A$351,$C$4,Data!$E$2:$E$351,$B27,Data!$G$2:$G$351,"Abroad"))),"")</f>
        <v>0.695247118269383</v>
      </c>
      <c r="H27" s="22" t="n">
        <f aca="false">IF(((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O$2:$O$351,Data!$A$2:$A$351,$C$4,Data!$E$2:$E$351,$B27,Data!$G$2:$G$351,"Abroad")+SUMIFS(Data!$P$2:$P$351,Data!$A$2:$A$351,$C$4,Data!$E$2:$E$351,$B27,Data!$G$2:$G$351,"Abroad")+SUMIFS(Data!$Q$2:$Q$351,Data!$A$2:$A$351,$C$4,Data!$E$2:$E$351,$B27,Data!$G$2:$G$351,"Abroad")+SUMIFS(Data!$R$2:$R$351,Data!$A$2:$A$351,$C$4,Data!$E$2:$E$351,$B27,Data!$G$2:$G$351,"Abroad")+SUMIFS(Data!$S$2:$S$351,Data!$A$2:$A$351,$C$4,Data!$E$2:$E$351,$B27,Data!$G$2:$G$351,"Abroad")))&gt;0,((SUMIFS(Data!$L$2:$L$351,Data!$A$2:$A$351,$C$4,Data!$E$2:$E$351,$B27,Data!$G$2:$G$351,"Abroad"))+(SUMIFS(Data!$S$2:$S$351,Data!$A$2:$A$351,$C$4,Data!$E$2:$E$351,$B27,Data!$G$2:$G$351,"Abroad")))/((SUMIFS(Data!$H$2:$H$351,Data!$A$2:$A$351,$C$4,Data!$E$2:$E$351,$B27,Data!$G$2:$G$351,"Abroad")+SUMIFS(Data!$I$2:$I$351,Data!$A$2:$A$351,$C$4,Data!$E$2:$E$351,$B27,Data!$G$2:$G$351,"Abroad")+SUMIFS(Data!$J$2:$J$351,Data!$A$2:$A$351,$C$4,Data!$E$2:$E$351,$B27,Data!$G$2:$G$351,"Abroad")+SUMIFS(Data!$K$2:$K$351,Data!$A$2:$A$351,$C$4,Data!$E$2:$E$351,$B27,Data!$G$2:$G$351,"Abroad")+SUMIFS(Data!$L$2:$L$351,Data!$A$2:$A$351,$C$4,Data!$E$2:$E$351,$B27,Data!$G$2:$G$351,"Abroad"))+(SUMIFS(Data!$O$2:$O$351,Data!$A$2:$A$351,$C$4,Data!$E$2:$E$351,$B27,Data!$G$2:$G$351,"Abroad")+SUMIFS(Data!$P$2:$P$351,Data!$A$2:$A$351,$C$4,Data!$E$2:$E$351,$B27,Data!$G$2:$G$351,"Abroad")+SUMIFS(Data!$Q$2:$Q$351,Data!$A$2:$A$351,$C$4,Data!$E$2:$E$351,$B27,Data!$G$2:$G$351,"Abroad")+SUMIFS(Data!$R$2:$R$351,Data!$A$2:$A$351,$C$4,Data!$E$2:$E$351,$B27,Data!$G$2:$G$351,"Abroad")+SUMIFS(Data!$S$2:$S$351,Data!$A$2:$A$351,$C$4,Data!$E$2:$E$351,$B27,Data!$G$2:$G$351,"Abroad"))),"")</f>
        <v>0.0903205431864835</v>
      </c>
    </row>
    <row r="28" customFormat="false" ht="15" hidden="false" customHeight="false" outlineLevel="0" collapsed="false">
      <c r="B28" s="9" t="s">
        <v>84</v>
      </c>
      <c r="C28" s="24" t="n">
        <f aca="false">SUMIFS(Data!$V$2:$V$351,Data!$A$2:$A$351,$C$4,Data!$E$2:$E$351,$B28,Data!$G$2:$G$351,"Abroad")</f>
        <v>310086</v>
      </c>
      <c r="D28" s="32" t="n">
        <f aca="false">IF(C28&gt;0,SUMIFS(Data!$W$2:$W$351,Data!$A$2:$A$351,$C$4,Data!$E$2:$E$351,$B28,Data!$G$2:$G$351,"Abroad")/C28,0)</f>
        <v>0.999532387789194</v>
      </c>
      <c r="E28" s="22" t="n">
        <f aca="false">IF(((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O$2:$O$351,Data!$A$2:$A$351,$C$4,Data!$E$2:$E$351,$B28,Data!$G$2:$G$351,"Abroad")+SUMIFS(Data!$P$2:$P$351,Data!$A$2:$A$351,$C$4,Data!$E$2:$E$351,$B28,Data!$G$2:$G$351,"Abroad")+SUMIFS(Data!$Q$2:$Q$351,Data!$A$2:$A$351,$C$4,Data!$E$2:$E$351,$B28,Data!$G$2:$G$351,"Abroad")+SUMIFS(Data!$R$2:$R$351,Data!$A$2:$A$351,$C$4,Data!$E$2:$E$351,$B28,Data!$G$2:$G$351,"Abroad")+SUMIFS(Data!$S$2:$S$351,Data!$A$2:$A$351,$C$4,Data!$E$2:$E$351,$B28,Data!$G$2:$G$351,"Abroad")))&gt;0,(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O$2:$O$351,Data!$A$2:$A$351,$C$4,Data!$E$2:$E$351,$B28,Data!$G$2:$G$351,"Abroad")+SUMIFS(Data!$P$2:$P$351,Data!$A$2:$A$351,$C$4,Data!$E$2:$E$351,$B28,Data!$G$2:$G$351,"Abroad")+SUMIFS(Data!$Q$2:$Q$351,Data!$A$2:$A$351,$C$4,Data!$E$2:$E$351,$B28,Data!$G$2:$G$351,"Abroad")+SUMIFS(Data!$R$2:$R$351,Data!$A$2:$A$351,$C$4,Data!$E$2:$E$351,$B28,Data!$G$2:$G$351,"Abroad")+SUMIFS(Data!$S$2:$S$351,Data!$A$2:$A$351,$C$4,Data!$E$2:$E$351,$B28,Data!$G$2:$G$351,"Abroad"))),"")</f>
        <v>0.51673626452869</v>
      </c>
      <c r="F28" s="22" t="n">
        <f aca="false">IF(((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O$2:$O$351,Data!$A$2:$A$351,$C$4,Data!$E$2:$E$351,$B28,Data!$G$2:$G$351,"Abroad")+SUMIFS(Data!$P$2:$P$351,Data!$A$2:$A$351,$C$4,Data!$E$2:$E$351,$B28,Data!$G$2:$G$351,"Abroad")+SUMIFS(Data!$Q$2:$Q$351,Data!$A$2:$A$351,$C$4,Data!$E$2:$E$351,$B28,Data!$G$2:$G$351,"Abroad")+SUMIFS(Data!$R$2:$R$351,Data!$A$2:$A$351,$C$4,Data!$E$2:$E$351,$B28,Data!$G$2:$G$351,"Abroad")+SUMIFS(Data!$S$2:$S$351,Data!$A$2:$A$351,$C$4,Data!$E$2:$E$351,$B28,Data!$G$2:$G$351,"Abroad")))&gt;0,((SUMIFS(Data!$H$2:$H$351,Data!$A$2:$A$351,$C$4,Data!$E$2:$E$351,$B28,Data!$G$2:$G$351,"Abroad")+SUMIFS(Data!$I$2:$I$351,Data!$A$2:$A$351,$C$4,Data!$E$2:$E$351,$B28,Data!$G$2:$G$351,"Abroad")+SUMIFS(Data!$J$2:$J$351,Data!$A$2:$A$351,$C$4,Data!$E$2:$E$351,$B28,Data!$G$2:$G$351,"Abroad"))+(SUMIFS(Data!$O$2:$O$351,Data!$A$2:$A$351,$C$4,Data!$E$2:$E$351,$B28,Data!$G$2:$G$351,"Abroad")+SUMIFS(Data!$P$2:$P$351,Data!$A$2:$A$351,$C$4,Data!$E$2:$E$351,$B28,Data!$G$2:$G$351,"Abroad")+SUMIFS(Data!$Q$2:$Q$351,Data!$A$2:$A$351,$C$4,Data!$E$2:$E$351,$B28,Data!$G$2:$G$351,"Abroad")))/((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O$2:$O$351,Data!$A$2:$A$351,$C$4,Data!$E$2:$E$351,$B28,Data!$G$2:$G$351,"Abroad")+SUMIFS(Data!$P$2:$P$351,Data!$A$2:$A$351,$C$4,Data!$E$2:$E$351,$B28,Data!$G$2:$G$351,"Abroad")+SUMIFS(Data!$Q$2:$Q$351,Data!$A$2:$A$351,$C$4,Data!$E$2:$E$351,$B28,Data!$G$2:$G$351,"Abroad")+SUMIFS(Data!$R$2:$R$351,Data!$A$2:$A$351,$C$4,Data!$E$2:$E$351,$B28,Data!$G$2:$G$351,"Abroad")+SUMIFS(Data!$S$2:$S$351,Data!$A$2:$A$351,$C$4,Data!$E$2:$E$351,$B28,Data!$G$2:$G$351,"Abroad"))),"")</f>
        <v>0.171184518463646</v>
      </c>
      <c r="G28" s="22" t="n">
        <f aca="false">IF(((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O$2:$O$351,Data!$A$2:$A$351,$C$4,Data!$E$2:$E$351,$B28,Data!$G$2:$G$351,"Abroad")+SUMIFS(Data!$P$2:$P$351,Data!$A$2:$A$351,$C$4,Data!$E$2:$E$351,$B28,Data!$G$2:$G$351,"Abroad")+SUMIFS(Data!$Q$2:$Q$351,Data!$A$2:$A$351,$C$4,Data!$E$2:$E$351,$B28,Data!$G$2:$G$351,"Abroad")+SUMIFS(Data!$R$2:$R$351,Data!$A$2:$A$351,$C$4,Data!$E$2:$E$351,$B28,Data!$G$2:$G$351,"Abroad")+SUMIFS(Data!$S$2:$S$351,Data!$A$2:$A$351,$C$4,Data!$E$2:$E$351,$B28,Data!$G$2:$G$351,"Abroad")))&gt;0,((SUMIFS(Data!$K$2:$K$351,Data!$A$2:$A$351,$C$4,Data!$E$2:$E$351,$B28,Data!$G$2:$G$351,"Abroad"))+(SUMIFS(Data!$R$2:$R$351,Data!$A$2:$A$351,$C$4,Data!$E$2:$E$351,$B28,Data!$G$2:$G$351,"Abroad")))/((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O$2:$O$351,Data!$A$2:$A$351,$C$4,Data!$E$2:$E$351,$B28,Data!$G$2:$G$351,"Abroad")+SUMIFS(Data!$P$2:$P$351,Data!$A$2:$A$351,$C$4,Data!$E$2:$E$351,$B28,Data!$G$2:$G$351,"Abroad")+SUMIFS(Data!$Q$2:$Q$351,Data!$A$2:$A$351,$C$4,Data!$E$2:$E$351,$B28,Data!$G$2:$G$351,"Abroad")+SUMIFS(Data!$R$2:$R$351,Data!$A$2:$A$351,$C$4,Data!$E$2:$E$351,$B28,Data!$G$2:$G$351,"Abroad")+SUMIFS(Data!$S$2:$S$351,Data!$A$2:$A$351,$C$4,Data!$E$2:$E$351,$B28,Data!$G$2:$G$351,"Abroad"))),"")</f>
        <v>0.747536760126653</v>
      </c>
      <c r="H28" s="22" t="n">
        <f aca="false">IF(((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O$2:$O$351,Data!$A$2:$A$351,$C$4,Data!$E$2:$E$351,$B28,Data!$G$2:$G$351,"Abroad")+SUMIFS(Data!$P$2:$P$351,Data!$A$2:$A$351,$C$4,Data!$E$2:$E$351,$B28,Data!$G$2:$G$351,"Abroad")+SUMIFS(Data!$Q$2:$Q$351,Data!$A$2:$A$351,$C$4,Data!$E$2:$E$351,$B28,Data!$G$2:$G$351,"Abroad")+SUMIFS(Data!$R$2:$R$351,Data!$A$2:$A$351,$C$4,Data!$E$2:$E$351,$B28,Data!$G$2:$G$351,"Abroad")+SUMIFS(Data!$S$2:$S$351,Data!$A$2:$A$351,$C$4,Data!$E$2:$E$351,$B28,Data!$G$2:$G$351,"Abroad")))&gt;0,((SUMIFS(Data!$L$2:$L$351,Data!$A$2:$A$351,$C$4,Data!$E$2:$E$351,$B28,Data!$G$2:$G$351,"Abroad"))+(SUMIFS(Data!$S$2:$S$351,Data!$A$2:$A$351,$C$4,Data!$E$2:$E$351,$B28,Data!$G$2:$G$351,"Abroad")))/((SUMIFS(Data!$H$2:$H$351,Data!$A$2:$A$351,$C$4,Data!$E$2:$E$351,$B28,Data!$G$2:$G$351,"Abroad")+SUMIFS(Data!$I$2:$I$351,Data!$A$2:$A$351,$C$4,Data!$E$2:$E$351,$B28,Data!$G$2:$G$351,"Abroad")+SUMIFS(Data!$J$2:$J$351,Data!$A$2:$A$351,$C$4,Data!$E$2:$E$351,$B28,Data!$G$2:$G$351,"Abroad")+SUMIFS(Data!$K$2:$K$351,Data!$A$2:$A$351,$C$4,Data!$E$2:$E$351,$B28,Data!$G$2:$G$351,"Abroad")+SUMIFS(Data!$L$2:$L$351,Data!$A$2:$A$351,$C$4,Data!$E$2:$E$351,$B28,Data!$G$2:$G$351,"Abroad"))+(SUMIFS(Data!$O$2:$O$351,Data!$A$2:$A$351,$C$4,Data!$E$2:$E$351,$B28,Data!$G$2:$G$351,"Abroad")+SUMIFS(Data!$P$2:$P$351,Data!$A$2:$A$351,$C$4,Data!$E$2:$E$351,$B28,Data!$G$2:$G$351,"Abroad")+SUMIFS(Data!$Q$2:$Q$351,Data!$A$2:$A$351,$C$4,Data!$E$2:$E$351,$B28,Data!$G$2:$G$351,"Abroad")+SUMIFS(Data!$R$2:$R$351,Data!$A$2:$A$351,$C$4,Data!$E$2:$E$351,$B28,Data!$G$2:$G$351,"Abroad")+SUMIFS(Data!$S$2:$S$351,Data!$A$2:$A$351,$C$4,Data!$E$2:$E$351,$B28,Data!$G$2:$G$351,"Abroad"))),"")</f>
        <v>0.0812787214097009</v>
      </c>
    </row>
    <row r="29" customFormat="false" ht="15" hidden="false" customHeight="false" outlineLevel="0" collapsed="false">
      <c r="B29" s="9" t="s">
        <v>85</v>
      </c>
      <c r="C29" s="24" t="n">
        <f aca="false">SUMIFS(Data!$V$2:$V$351,Data!$A$2:$A$351,$C$4,Data!$E$2:$E$351,$B29,Data!$G$2:$G$351,"Abroad")</f>
        <v>373</v>
      </c>
      <c r="D29" s="32" t="n">
        <f aca="false">IF(C29&gt;0,SUMIFS(Data!$W$2:$W$351,Data!$A$2:$A$351,$C$4,Data!$E$2:$E$351,$B29,Data!$G$2:$G$351,"Abroad")/C29,0)</f>
        <v>0.0268096514745308</v>
      </c>
      <c r="E29" s="22" t="n">
        <f aca="false">IF(((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O$2:$O$351,Data!$A$2:$A$351,$C$4,Data!$E$2:$E$351,$B29,Data!$G$2:$G$351,"Abroad")+SUMIFS(Data!$P$2:$P$351,Data!$A$2:$A$351,$C$4,Data!$E$2:$E$351,$B29,Data!$G$2:$G$351,"Abroad")+SUMIFS(Data!$Q$2:$Q$351,Data!$A$2:$A$351,$C$4,Data!$E$2:$E$351,$B29,Data!$G$2:$G$351,"Abroad")+SUMIFS(Data!$R$2:$R$351,Data!$A$2:$A$351,$C$4,Data!$E$2:$E$351,$B29,Data!$G$2:$G$351,"Abroad")+SUMIFS(Data!$S$2:$S$351,Data!$A$2:$A$351,$C$4,Data!$E$2:$E$351,$B29,Data!$G$2:$G$351,"Abroad")))&gt;0,(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O$2:$O$351,Data!$A$2:$A$351,$C$4,Data!$E$2:$E$351,$B29,Data!$G$2:$G$351,"Abroad")+SUMIFS(Data!$P$2:$P$351,Data!$A$2:$A$351,$C$4,Data!$E$2:$E$351,$B29,Data!$G$2:$G$351,"Abroad")+SUMIFS(Data!$Q$2:$Q$351,Data!$A$2:$A$351,$C$4,Data!$E$2:$E$351,$B29,Data!$G$2:$G$351,"Abroad")+SUMIFS(Data!$R$2:$R$351,Data!$A$2:$A$351,$C$4,Data!$E$2:$E$351,$B29,Data!$G$2:$G$351,"Abroad")+SUMIFS(Data!$S$2:$S$351,Data!$A$2:$A$351,$C$4,Data!$E$2:$E$351,$B29,Data!$G$2:$G$351,"Abroad"))),"")</f>
        <v>1</v>
      </c>
      <c r="F29" s="22" t="n">
        <f aca="false">IF(((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O$2:$O$351,Data!$A$2:$A$351,$C$4,Data!$E$2:$E$351,$B29,Data!$G$2:$G$351,"Abroad")+SUMIFS(Data!$P$2:$P$351,Data!$A$2:$A$351,$C$4,Data!$E$2:$E$351,$B29,Data!$G$2:$G$351,"Abroad")+SUMIFS(Data!$Q$2:$Q$351,Data!$A$2:$A$351,$C$4,Data!$E$2:$E$351,$B29,Data!$G$2:$G$351,"Abroad")+SUMIFS(Data!$R$2:$R$351,Data!$A$2:$A$351,$C$4,Data!$E$2:$E$351,$B29,Data!$G$2:$G$351,"Abroad")+SUMIFS(Data!$S$2:$S$351,Data!$A$2:$A$351,$C$4,Data!$E$2:$E$351,$B29,Data!$G$2:$G$351,"Abroad")))&gt;0,((SUMIFS(Data!$H$2:$H$351,Data!$A$2:$A$351,$C$4,Data!$E$2:$E$351,$B29,Data!$G$2:$G$351,"Abroad")+SUMIFS(Data!$I$2:$I$351,Data!$A$2:$A$351,$C$4,Data!$E$2:$E$351,$B29,Data!$G$2:$G$351,"Abroad")+SUMIFS(Data!$J$2:$J$351,Data!$A$2:$A$351,$C$4,Data!$E$2:$E$351,$B29,Data!$G$2:$G$351,"Abroad"))+(SUMIFS(Data!$O$2:$O$351,Data!$A$2:$A$351,$C$4,Data!$E$2:$E$351,$B29,Data!$G$2:$G$351,"Abroad")+SUMIFS(Data!$P$2:$P$351,Data!$A$2:$A$351,$C$4,Data!$E$2:$E$351,$B29,Data!$G$2:$G$351,"Abroad")+SUMIFS(Data!$Q$2:$Q$351,Data!$A$2:$A$351,$C$4,Data!$E$2:$E$351,$B29,Data!$G$2:$G$351,"Abroad")))/((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O$2:$O$351,Data!$A$2:$A$351,$C$4,Data!$E$2:$E$351,$B29,Data!$G$2:$G$351,"Abroad")+SUMIFS(Data!$P$2:$P$351,Data!$A$2:$A$351,$C$4,Data!$E$2:$E$351,$B29,Data!$G$2:$G$351,"Abroad")+SUMIFS(Data!$Q$2:$Q$351,Data!$A$2:$A$351,$C$4,Data!$E$2:$E$351,$B29,Data!$G$2:$G$351,"Abroad")+SUMIFS(Data!$R$2:$R$351,Data!$A$2:$A$351,$C$4,Data!$E$2:$E$351,$B29,Data!$G$2:$G$351,"Abroad")+SUMIFS(Data!$S$2:$S$351,Data!$A$2:$A$351,$C$4,Data!$E$2:$E$351,$B29,Data!$G$2:$G$351,"Abroad"))),"")</f>
        <v>0</v>
      </c>
      <c r="G29" s="22" t="n">
        <f aca="false">IF(((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O$2:$O$351,Data!$A$2:$A$351,$C$4,Data!$E$2:$E$351,$B29,Data!$G$2:$G$351,"Abroad")+SUMIFS(Data!$P$2:$P$351,Data!$A$2:$A$351,$C$4,Data!$E$2:$E$351,$B29,Data!$G$2:$G$351,"Abroad")+SUMIFS(Data!$Q$2:$Q$351,Data!$A$2:$A$351,$C$4,Data!$E$2:$E$351,$B29,Data!$G$2:$G$351,"Abroad")+SUMIFS(Data!$R$2:$R$351,Data!$A$2:$A$351,$C$4,Data!$E$2:$E$351,$B29,Data!$G$2:$G$351,"Abroad")+SUMIFS(Data!$S$2:$S$351,Data!$A$2:$A$351,$C$4,Data!$E$2:$E$351,$B29,Data!$G$2:$G$351,"Abroad")))&gt;0,((SUMIFS(Data!$K$2:$K$351,Data!$A$2:$A$351,$C$4,Data!$E$2:$E$351,$B29,Data!$G$2:$G$351,"Abroad"))+(SUMIFS(Data!$R$2:$R$351,Data!$A$2:$A$351,$C$4,Data!$E$2:$E$351,$B29,Data!$G$2:$G$351,"Abroad")))/((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O$2:$O$351,Data!$A$2:$A$351,$C$4,Data!$E$2:$E$351,$B29,Data!$G$2:$G$351,"Abroad")+SUMIFS(Data!$P$2:$P$351,Data!$A$2:$A$351,$C$4,Data!$E$2:$E$351,$B29,Data!$G$2:$G$351,"Abroad")+SUMIFS(Data!$Q$2:$Q$351,Data!$A$2:$A$351,$C$4,Data!$E$2:$E$351,$B29,Data!$G$2:$G$351,"Abroad")+SUMIFS(Data!$R$2:$R$351,Data!$A$2:$A$351,$C$4,Data!$E$2:$E$351,$B29,Data!$G$2:$G$351,"Abroad")+SUMIFS(Data!$S$2:$S$351,Data!$A$2:$A$351,$C$4,Data!$E$2:$E$351,$B29,Data!$G$2:$G$351,"Abroad"))),"")</f>
        <v>0.5</v>
      </c>
      <c r="H29" s="22" t="n">
        <f aca="false">IF(((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O$2:$O$351,Data!$A$2:$A$351,$C$4,Data!$E$2:$E$351,$B29,Data!$G$2:$G$351,"Abroad")+SUMIFS(Data!$P$2:$P$351,Data!$A$2:$A$351,$C$4,Data!$E$2:$E$351,$B29,Data!$G$2:$G$351,"Abroad")+SUMIFS(Data!$Q$2:$Q$351,Data!$A$2:$A$351,$C$4,Data!$E$2:$E$351,$B29,Data!$G$2:$G$351,"Abroad")+SUMIFS(Data!$R$2:$R$351,Data!$A$2:$A$351,$C$4,Data!$E$2:$E$351,$B29,Data!$G$2:$G$351,"Abroad")+SUMIFS(Data!$S$2:$S$351,Data!$A$2:$A$351,$C$4,Data!$E$2:$E$351,$B29,Data!$G$2:$G$351,"Abroad")))&gt;0,((SUMIFS(Data!$L$2:$L$351,Data!$A$2:$A$351,$C$4,Data!$E$2:$E$351,$B29,Data!$G$2:$G$351,"Abroad"))+(SUMIFS(Data!$S$2:$S$351,Data!$A$2:$A$351,$C$4,Data!$E$2:$E$351,$B29,Data!$G$2:$G$351,"Abroad")))/((SUMIFS(Data!$H$2:$H$351,Data!$A$2:$A$351,$C$4,Data!$E$2:$E$351,$B29,Data!$G$2:$G$351,"Abroad")+SUMIFS(Data!$I$2:$I$351,Data!$A$2:$A$351,$C$4,Data!$E$2:$E$351,$B29,Data!$G$2:$G$351,"Abroad")+SUMIFS(Data!$J$2:$J$351,Data!$A$2:$A$351,$C$4,Data!$E$2:$E$351,$B29,Data!$G$2:$G$351,"Abroad")+SUMIFS(Data!$K$2:$K$351,Data!$A$2:$A$351,$C$4,Data!$E$2:$E$351,$B29,Data!$G$2:$G$351,"Abroad")+SUMIFS(Data!$L$2:$L$351,Data!$A$2:$A$351,$C$4,Data!$E$2:$E$351,$B29,Data!$G$2:$G$351,"Abroad"))+(SUMIFS(Data!$O$2:$O$351,Data!$A$2:$A$351,$C$4,Data!$E$2:$E$351,$B29,Data!$G$2:$G$351,"Abroad")+SUMIFS(Data!$P$2:$P$351,Data!$A$2:$A$351,$C$4,Data!$E$2:$E$351,$B29,Data!$G$2:$G$351,"Abroad")+SUMIFS(Data!$Q$2:$Q$351,Data!$A$2:$A$351,$C$4,Data!$E$2:$E$351,$B29,Data!$G$2:$G$351,"Abroad")+SUMIFS(Data!$R$2:$R$351,Data!$A$2:$A$351,$C$4,Data!$E$2:$E$351,$B29,Data!$G$2:$G$351,"Abroad")+SUMIFS(Data!$S$2:$S$351,Data!$A$2:$A$351,$C$4,Data!$E$2:$E$351,$B29,Data!$G$2:$G$351,"Abroad"))),"")</f>
        <v>0.5</v>
      </c>
    </row>
    <row r="31" customFormat="false" ht="15" hidden="false" customHeight="false" outlineLevel="0" collapsed="false">
      <c r="B31" s="6" t="s">
        <v>141</v>
      </c>
    </row>
  </sheetData>
  <conditionalFormatting sqref="D23:D29">
    <cfRule type="dataBar" priority="2">
      <dataBar showValue="1" minLength="10" maxLength="90">
        <cfvo type="num" val="0"/>
        <cfvo type="num" val="1"/>
        <color rgb="FF86B6EF"/>
      </dataBar>
      <extLst>
        <ext xmlns:x14="http://schemas.microsoft.com/office/spreadsheetml/2009/9/main" uri="{B025F937-C7B1-47D3-B67F-A62EFF666E3E}">
          <x14:id>{25DC93DD-FAE9-4AD8-8B12-6F578BF3A3D7}</x14:id>
        </ext>
      </extLst>
    </cfRule>
  </conditionalFormatting>
  <dataValidations count="2">
    <dataValidation allowBlank="false" errorStyle="stop" operator="between" showDropDown="false" showErrorMessage="false" showInputMessage="false" sqref="C4" type="list">
      <formula1>"2020,2021,2022,2023,2024,2025"</formula1>
      <formula2>0</formula2>
    </dataValidation>
    <dataValidation allowBlank="false" errorStyle="stop" operator="between" showDropDown="false" showErrorMessage="false" showInputMessage="false" sqref="C5" type="list">
      <formula1>$H$4:$H$11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extLst>
    <ext xmlns:x14="http://schemas.microsoft.com/office/spreadsheetml/2009/9/main" uri="{78C0D931-6437-407d-A8EE-F0AAD7539E65}">
      <x14:conditionalFormattings>
        <x14:conditionalFormatting xmlns:xm="http://schemas.microsoft.com/office/excel/2006/main">
          <x14:cfRule type="dataBar" id="{25DC93DD-FAE9-4AD8-8B12-6F578BF3A3D7}">
            <x14:dataBar minLength="10" maxLength="90" axisPosition="none" gradient="true">
              <x14:cfvo type="num">
                <xm:f>0</xm:f>
              </x14:cfvo>
              <x14:cfvo type="num">
                <xm:f>1</xm:f>
              </x14:cfvo>
              <x14:negativeFillColor rgb="FF86B6EF"/>
              <x14:axisColor rgb="FF000000"/>
            </x14:dataBar>
          </x14:cfRule>
          <xm:sqref>D23:D29</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BAF7A"/>
    <pageSetUpPr fitToPage="false"/>
  </sheetPr>
  <dimension ref="A1:S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3" topLeftCell="E4" activePane="bottomRight" state="frozen"/>
      <selection pane="topLeft" activeCell="A1" activeCellId="0" sqref="A1"/>
      <selection pane="topRight" activeCell="E1" activeCellId="0" sqref="E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4" min="2" style="0" width="26"/>
    <col collapsed="false" customWidth="true" hidden="false" outlineLevel="0" max="10" min="5" style="0" width="11"/>
    <col collapsed="false" customWidth="true" hidden="false" outlineLevel="0" max="12" min="11" style="0" width="14"/>
    <col collapsed="false" customWidth="true" hidden="false" outlineLevel="0" max="13" min="13" style="0" width="12"/>
    <col collapsed="false" customWidth="true" hidden="false" outlineLevel="0" max="15" min="14" style="0" width="11"/>
    <col collapsed="false" customWidth="true" hidden="false" outlineLevel="0" max="16" min="16" style="0" width="8"/>
    <col collapsed="false" customWidth="true" hidden="false" outlineLevel="0" max="17" min="17" style="0" width="14"/>
    <col collapsed="false" customWidth="true" hidden="false" outlineLevel="0" max="18" min="18" style="0" width="12"/>
    <col collapsed="false" customWidth="true" hidden="false" outlineLevel="0" max="19" min="19" style="0" width="11"/>
  </cols>
  <sheetData>
    <row r="1" customFormat="false" ht="19.7" hidden="false" customHeight="false" outlineLevel="0" collapsed="false">
      <c r="A1" s="1" t="s">
        <v>142</v>
      </c>
    </row>
    <row r="2" customFormat="false" ht="15" hidden="false" customHeight="false" outlineLevel="0" collapsed="false">
      <c r="A2" s="6" t="s">
        <v>143</v>
      </c>
    </row>
    <row r="3" customFormat="false" ht="43.5" hidden="false" customHeight="true" outlineLevel="0" collapsed="false">
      <c r="A3" s="8" t="s">
        <v>144</v>
      </c>
      <c r="B3" s="8" t="s">
        <v>100</v>
      </c>
      <c r="C3" s="8" t="s">
        <v>145</v>
      </c>
      <c r="D3" s="8" t="s">
        <v>75</v>
      </c>
      <c r="E3" s="14" t="n">
        <v>2020</v>
      </c>
      <c r="F3" s="14" t="n">
        <v>2021</v>
      </c>
      <c r="G3" s="14" t="n">
        <v>2022</v>
      </c>
      <c r="H3" s="14" t="n">
        <v>2023</v>
      </c>
      <c r="I3" s="14" t="n">
        <v>2024</v>
      </c>
      <c r="J3" s="14" t="n">
        <v>2025</v>
      </c>
      <c r="K3" s="8" t="s">
        <v>146</v>
      </c>
      <c r="L3" s="8" t="s">
        <v>147</v>
      </c>
      <c r="M3" s="8" t="s">
        <v>148</v>
      </c>
      <c r="N3" s="8" t="s">
        <v>149</v>
      </c>
      <c r="O3" s="8" t="s">
        <v>150</v>
      </c>
      <c r="P3" s="8" t="s">
        <v>151</v>
      </c>
      <c r="Q3" s="8" t="s">
        <v>152</v>
      </c>
      <c r="R3" s="8" t="s">
        <v>153</v>
      </c>
      <c r="S3" s="8" t="s">
        <v>154</v>
      </c>
    </row>
    <row r="4" customFormat="false" ht="15" hidden="false" customHeight="false" outlineLevel="0" collapsed="false">
      <c r="A4" s="9" t="s">
        <v>155</v>
      </c>
      <c r="B4" s="9" t="str">
        <f aca="false">INDEX(Lookups!$B$5:$B$75,MATCH($A4,Lookups!$A$5:$A$75,0))</f>
        <v>Colombia</v>
      </c>
      <c r="C4" s="9" t="str">
        <f aca="false">INDEX(Lookups!$C$5:$C$75,MATCH($A4,Lookups!$A$5:$A$75,0))</f>
        <v>Latin America &amp; Caribbean</v>
      </c>
      <c r="D4" s="9" t="str">
        <f aca="false">INDEX(Lookups!$D$5:$D$75,MATCH($A4,Lookups!$A$5:$A$75,0))</f>
        <v>Andean region</v>
      </c>
      <c r="E4" s="15" t="n">
        <f aca="false">SUMIFS(Data!$V$2:$V$351,Data!$A$2:$A$351,E$3,Data!$C$2:$C$351,$A4)</f>
        <v>1749895</v>
      </c>
      <c r="F4" s="15" t="n">
        <f aca="false">SUMIFS(Data!$V$2:$V$351,Data!$A$2:$A$351,F$3,Data!$C$2:$C$351,$A4)</f>
        <v>1872472</v>
      </c>
      <c r="G4" s="15" t="n">
        <f aca="false">SUMIFS(Data!$V$2:$V$351,Data!$A$2:$A$351,G$3,Data!$C$2:$C$351,$A4)</f>
        <v>2477588</v>
      </c>
      <c r="H4" s="15" t="n">
        <f aca="false">SUMIFS(Data!$V$2:$V$351,Data!$A$2:$A$351,H$3,Data!$C$2:$C$351,$A4)</f>
        <v>2875743</v>
      </c>
      <c r="I4" s="15" t="n">
        <f aca="false">SUMIFS(Data!$V$2:$V$351,Data!$A$2:$A$351,I$3,Data!$C$2:$C$351,$A4)</f>
        <v>2808968</v>
      </c>
      <c r="J4" s="15" t="n">
        <f aca="false">SUMIFS(Data!$V$2:$V$351,Data!$A$2:$A$351,J$3,Data!$C$2:$C$351,$A4)</f>
        <v>2828195</v>
      </c>
      <c r="K4" s="15" t="n">
        <f aca="false">J4-E4</f>
        <v>1078300</v>
      </c>
      <c r="L4" s="15" t="n">
        <f aca="false">J4-I4</f>
        <v>19227</v>
      </c>
      <c r="M4" s="17" t="n">
        <f aca="false">IF(I4&gt;0,L4/I4,"")</f>
        <v>0.00684486259722432</v>
      </c>
      <c r="N4" s="22" t="n">
        <f aca="false">J4/J$74</f>
        <v>0.368122646676608</v>
      </c>
      <c r="O4" s="15" t="n">
        <f aca="false">MAX(E4:J4)</f>
        <v>2875743</v>
      </c>
      <c r="P4" s="25" t="n">
        <f aca="false">INDEX($E$3:$J$3,MATCH(O4,E4:J4,0))</f>
        <v>2023</v>
      </c>
      <c r="Q4" s="15" t="n">
        <f aca="false">INDEX(E4:J4,MATCH(Explorer!$C$4,$E$3:$J$3,0))</f>
        <v>2828195</v>
      </c>
      <c r="R4" s="33" t="n">
        <f aca="false">Q4-ROW()/1000000</f>
        <v>2828194.999996</v>
      </c>
      <c r="S4" s="25" t="n">
        <f aca="false">RANK(R4,$R$4:$R$73)</f>
        <v>1</v>
      </c>
    </row>
    <row r="5" customFormat="false" ht="15" hidden="false" customHeight="false" outlineLevel="0" collapsed="false">
      <c r="A5" s="9" t="s">
        <v>156</v>
      </c>
      <c r="B5" s="9" t="str">
        <f aca="false">INDEX(Lookups!$B$5:$B$75,MATCH($A5,Lookups!$A$5:$A$75,0))</f>
        <v>Peru</v>
      </c>
      <c r="C5" s="9" t="str">
        <f aca="false">INDEX(Lookups!$C$5:$C$75,MATCH($A5,Lookups!$A$5:$A$75,0))</f>
        <v>Latin America &amp; Caribbean</v>
      </c>
      <c r="D5" s="9" t="str">
        <f aca="false">INDEX(Lookups!$D$5:$D$75,MATCH($A5,Lookups!$A$5:$A$75,0))</f>
        <v>Andean region</v>
      </c>
      <c r="E5" s="15" t="n">
        <f aca="false">SUMIFS(Data!$V$2:$V$351,Data!$A$2:$A$351,E$3,Data!$C$2:$C$351,$A5)</f>
        <v>1049970</v>
      </c>
      <c r="F5" s="15" t="n">
        <f aca="false">SUMIFS(Data!$V$2:$V$351,Data!$A$2:$A$351,F$3,Data!$C$2:$C$351,$A5)</f>
        <v>1327362</v>
      </c>
      <c r="G5" s="15" t="n">
        <f aca="false">SUMIFS(Data!$V$2:$V$351,Data!$A$2:$A$351,G$3,Data!$C$2:$C$351,$A5)</f>
        <v>1506368</v>
      </c>
      <c r="H5" s="15" t="n">
        <f aca="false">SUMIFS(Data!$V$2:$V$351,Data!$A$2:$A$351,H$3,Data!$C$2:$C$351,$A5)</f>
        <v>1542004</v>
      </c>
      <c r="I5" s="15" t="n">
        <f aca="false">SUMIFS(Data!$V$2:$V$351,Data!$A$2:$A$351,I$3,Data!$C$2:$C$351,$A5)</f>
        <v>1662889</v>
      </c>
      <c r="J5" s="15" t="n">
        <f aca="false">SUMIFS(Data!$V$2:$V$351,Data!$A$2:$A$351,J$3,Data!$C$2:$C$351,$A5)</f>
        <v>1641305</v>
      </c>
      <c r="K5" s="15" t="n">
        <f aca="false">J5-E5</f>
        <v>591335</v>
      </c>
      <c r="L5" s="15" t="n">
        <f aca="false">J5-I5</f>
        <v>-21584</v>
      </c>
      <c r="M5" s="17" t="n">
        <f aca="false">IF(I5&gt;0,L5/I5,"")</f>
        <v>-0.0129798200601483</v>
      </c>
      <c r="N5" s="22" t="n">
        <f aca="false">J5/J$74</f>
        <v>0.213635035987105</v>
      </c>
      <c r="O5" s="15" t="n">
        <f aca="false">MAX(E5:J5)</f>
        <v>1662889</v>
      </c>
      <c r="P5" s="25" t="n">
        <f aca="false">INDEX($E$3:$J$3,MATCH(O5,E5:J5,0))</f>
        <v>2024</v>
      </c>
      <c r="Q5" s="15" t="n">
        <f aca="false">INDEX(E5:J5,MATCH(Explorer!$C$4,$E$3:$J$3,0))</f>
        <v>1641305</v>
      </c>
      <c r="R5" s="33" t="n">
        <f aca="false">Q5-ROW()/1000000</f>
        <v>1641304.999995</v>
      </c>
      <c r="S5" s="25" t="n">
        <f aca="false">RANK(R5,$R$4:$R$73)</f>
        <v>2</v>
      </c>
    </row>
    <row r="6" customFormat="false" ht="15" hidden="false" customHeight="false" outlineLevel="0" collapsed="false">
      <c r="A6" s="9" t="s">
        <v>157</v>
      </c>
      <c r="B6" s="9" t="str">
        <f aca="false">INDEX(Lookups!$B$5:$B$75,MATCH($A6,Lookups!$A$5:$A$75,0))</f>
        <v>Brazil</v>
      </c>
      <c r="C6" s="9" t="str">
        <f aca="false">INDEX(Lookups!$C$5:$C$75,MATCH($A6,Lookups!$A$5:$A$75,0))</f>
        <v>Latin America &amp; Caribbean</v>
      </c>
      <c r="D6" s="9" t="str">
        <f aca="false">INDEX(Lookups!$D$5:$D$75,MATCH($A6,Lookups!$A$5:$A$75,0))</f>
        <v>Southern Cone &amp; Brazil</v>
      </c>
      <c r="E6" s="15" t="n">
        <f aca="false">SUMIFS(Data!$V$2:$V$351,Data!$A$2:$A$351,E$3,Data!$C$2:$C$351,$A6)</f>
        <v>301363</v>
      </c>
      <c r="F6" s="15" t="n">
        <f aca="false">SUMIFS(Data!$V$2:$V$351,Data!$A$2:$A$351,F$3,Data!$C$2:$C$351,$A6)</f>
        <v>310661</v>
      </c>
      <c r="G6" s="15" t="n">
        <f aca="false">SUMIFS(Data!$V$2:$V$351,Data!$A$2:$A$351,G$3,Data!$C$2:$C$351,$A6)</f>
        <v>414502</v>
      </c>
      <c r="H6" s="15" t="n">
        <f aca="false">SUMIFS(Data!$V$2:$V$351,Data!$A$2:$A$351,H$3,Data!$C$2:$C$351,$A6)</f>
        <v>510499</v>
      </c>
      <c r="I6" s="15" t="n">
        <f aca="false">SUMIFS(Data!$V$2:$V$351,Data!$A$2:$A$351,I$3,Data!$C$2:$C$351,$A6)</f>
        <v>626858</v>
      </c>
      <c r="J6" s="15" t="n">
        <f aca="false">SUMIFS(Data!$V$2:$V$351,Data!$A$2:$A$351,J$3,Data!$C$2:$C$351,$A6)</f>
        <v>732272</v>
      </c>
      <c r="K6" s="15" t="n">
        <f aca="false">J6-E6</f>
        <v>430909</v>
      </c>
      <c r="L6" s="15" t="n">
        <f aca="false">J6-I6</f>
        <v>105414</v>
      </c>
      <c r="M6" s="17" t="n">
        <f aca="false">IF(I6&gt;0,L6/I6,"")</f>
        <v>0.168162486559955</v>
      </c>
      <c r="N6" s="22" t="n">
        <f aca="false">J6/J$74</f>
        <v>0.095313762568413</v>
      </c>
      <c r="O6" s="15" t="n">
        <f aca="false">MAX(E6:J6)</f>
        <v>732272</v>
      </c>
      <c r="P6" s="25" t="n">
        <f aca="false">INDEX($E$3:$J$3,MATCH(O6,E6:J6,0))</f>
        <v>2025</v>
      </c>
      <c r="Q6" s="15" t="n">
        <f aca="false">INDEX(E6:J6,MATCH(Explorer!$C$4,$E$3:$J$3,0))</f>
        <v>732272</v>
      </c>
      <c r="R6" s="33" t="n">
        <f aca="false">Q6-ROW()/1000000</f>
        <v>732271.999994</v>
      </c>
      <c r="S6" s="25" t="n">
        <f aca="false">RANK(R6,$R$4:$R$73)</f>
        <v>3</v>
      </c>
    </row>
    <row r="7" customFormat="false" ht="15" hidden="false" customHeight="false" outlineLevel="0" collapsed="false">
      <c r="A7" s="9" t="s">
        <v>158</v>
      </c>
      <c r="B7" s="9" t="str">
        <f aca="false">INDEX(Lookups!$B$5:$B$75,MATCH($A7,Lookups!$A$5:$A$75,0))</f>
        <v>Chile</v>
      </c>
      <c r="C7" s="9" t="str">
        <f aca="false">INDEX(Lookups!$C$5:$C$75,MATCH($A7,Lookups!$A$5:$A$75,0))</f>
        <v>Latin America &amp; Caribbean</v>
      </c>
      <c r="D7" s="9" t="str">
        <f aca="false">INDEX(Lookups!$D$5:$D$75,MATCH($A7,Lookups!$A$5:$A$75,0))</f>
        <v>Southern Cone &amp; Brazil</v>
      </c>
      <c r="E7" s="15" t="n">
        <f aca="false">SUMIFS(Data!$V$2:$V$351,Data!$A$2:$A$351,E$3,Data!$C$2:$C$351,$A7)</f>
        <v>457324</v>
      </c>
      <c r="F7" s="15" t="n">
        <f aca="false">SUMIFS(Data!$V$2:$V$351,Data!$A$2:$A$351,F$3,Data!$C$2:$C$351,$A7)</f>
        <v>505007</v>
      </c>
      <c r="G7" s="15" t="n">
        <f aca="false">SUMIFS(Data!$V$2:$V$351,Data!$A$2:$A$351,G$3,Data!$C$2:$C$351,$A7)</f>
        <v>444423</v>
      </c>
      <c r="H7" s="15" t="n">
        <f aca="false">SUMIFS(Data!$V$2:$V$351,Data!$A$2:$A$351,H$3,Data!$C$2:$C$351,$A7)</f>
        <v>444423</v>
      </c>
      <c r="I7" s="15" t="n">
        <f aca="false">SUMIFS(Data!$V$2:$V$351,Data!$A$2:$A$351,I$3,Data!$C$2:$C$351,$A7)</f>
        <v>532715</v>
      </c>
      <c r="J7" s="15" t="n">
        <f aca="false">SUMIFS(Data!$V$2:$V$351,Data!$A$2:$A$351,J$3,Data!$C$2:$C$351,$A7)</f>
        <v>669408</v>
      </c>
      <c r="K7" s="15" t="n">
        <f aca="false">J7-E7</f>
        <v>212084</v>
      </c>
      <c r="L7" s="15" t="n">
        <f aca="false">J7-I7</f>
        <v>136693</v>
      </c>
      <c r="M7" s="17" t="n">
        <f aca="false">IF(I7&gt;0,L7/I7,"")</f>
        <v>0.25659686699267</v>
      </c>
      <c r="N7" s="22" t="n">
        <f aca="false">J7/J$74</f>
        <v>0.0871312779587315</v>
      </c>
      <c r="O7" s="15" t="n">
        <f aca="false">MAX(E7:J7)</f>
        <v>669408</v>
      </c>
      <c r="P7" s="25" t="n">
        <f aca="false">INDEX($E$3:$J$3,MATCH(O7,E7:J7,0))</f>
        <v>2025</v>
      </c>
      <c r="Q7" s="15" t="n">
        <f aca="false">INDEX(E7:J7,MATCH(Explorer!$C$4,$E$3:$J$3,0))</f>
        <v>669408</v>
      </c>
      <c r="R7" s="33" t="n">
        <f aca="false">Q7-ROW()/1000000</f>
        <v>669407.999993</v>
      </c>
      <c r="S7" s="25" t="n">
        <f aca="false">RANK(R7,$R$4:$R$73)</f>
        <v>4</v>
      </c>
    </row>
    <row r="8" customFormat="false" ht="15" hidden="false" customHeight="false" outlineLevel="0" collapsed="false">
      <c r="A8" s="9" t="s">
        <v>159</v>
      </c>
      <c r="B8" s="9" t="str">
        <f aca="false">INDEX(Lookups!$B$5:$B$75,MATCH($A8,Lookups!$A$5:$A$75,0))</f>
        <v>Ecuador</v>
      </c>
      <c r="C8" s="9" t="str">
        <f aca="false">INDEX(Lookups!$C$5:$C$75,MATCH($A8,Lookups!$A$5:$A$75,0))</f>
        <v>Latin America &amp; Caribbean</v>
      </c>
      <c r="D8" s="9" t="str">
        <f aca="false">INDEX(Lookups!$D$5:$D$75,MATCH($A8,Lookups!$A$5:$A$75,0))</f>
        <v>Andean region</v>
      </c>
      <c r="E8" s="15" t="n">
        <f aca="false">SUMIFS(Data!$V$2:$V$351,Data!$A$2:$A$351,E$3,Data!$C$2:$C$351,$A8)</f>
        <v>415835</v>
      </c>
      <c r="F8" s="15" t="n">
        <f aca="false">SUMIFS(Data!$V$2:$V$351,Data!$A$2:$A$351,F$3,Data!$C$2:$C$351,$A8)</f>
        <v>508935</v>
      </c>
      <c r="G8" s="15" t="n">
        <f aca="false">SUMIFS(Data!$V$2:$V$351,Data!$A$2:$A$351,G$3,Data!$C$2:$C$351,$A8)</f>
        <v>502214</v>
      </c>
      <c r="H8" s="15" t="n">
        <f aca="false">SUMIFS(Data!$V$2:$V$351,Data!$A$2:$A$351,H$3,Data!$C$2:$C$351,$A8)</f>
        <v>474945</v>
      </c>
      <c r="I8" s="15" t="n">
        <f aca="false">SUMIFS(Data!$V$2:$V$351,Data!$A$2:$A$351,I$3,Data!$C$2:$C$351,$A8)</f>
        <v>444778</v>
      </c>
      <c r="J8" s="15" t="n">
        <f aca="false">SUMIFS(Data!$V$2:$V$351,Data!$A$2:$A$351,J$3,Data!$C$2:$C$351,$A8)</f>
        <v>441063</v>
      </c>
      <c r="K8" s="15" t="n">
        <f aca="false">J8-E8</f>
        <v>25228</v>
      </c>
      <c r="L8" s="15" t="n">
        <f aca="false">J8-I8</f>
        <v>-3715</v>
      </c>
      <c r="M8" s="17" t="n">
        <f aca="false">IF(I8&gt;0,L8/I8,"")</f>
        <v>-0.00835248146266227</v>
      </c>
      <c r="N8" s="22" t="n">
        <f aca="false">J8/J$74</f>
        <v>0.057409506385212</v>
      </c>
      <c r="O8" s="15" t="n">
        <f aca="false">MAX(E8:J8)</f>
        <v>508935</v>
      </c>
      <c r="P8" s="25" t="n">
        <f aca="false">INDEX($E$3:$J$3,MATCH(O8,E8:J8,0))</f>
        <v>2021</v>
      </c>
      <c r="Q8" s="15" t="n">
        <f aca="false">INDEX(E8:J8,MATCH(Explorer!$C$4,$E$3:$J$3,0))</f>
        <v>441063</v>
      </c>
      <c r="R8" s="33" t="n">
        <f aca="false">Q8-ROW()/1000000</f>
        <v>441062.999992</v>
      </c>
      <c r="S8" s="25" t="n">
        <f aca="false">RANK(R8,$R$4:$R$73)</f>
        <v>5</v>
      </c>
    </row>
    <row r="9" customFormat="false" ht="15" hidden="false" customHeight="false" outlineLevel="0" collapsed="false">
      <c r="A9" s="9" t="s">
        <v>160</v>
      </c>
      <c r="B9" s="9" t="str">
        <f aca="false">INDEX(Lookups!$B$5:$B$75,MATCH($A9,Lookups!$A$5:$A$75,0))</f>
        <v>United States</v>
      </c>
      <c r="C9" s="9" t="str">
        <f aca="false">INDEX(Lookups!$C$5:$C$75,MATCH($A9,Lookups!$A$5:$A$75,0))</f>
        <v>North America</v>
      </c>
      <c r="D9" s="9" t="str">
        <f aca="false">INDEX(Lookups!$D$5:$D$75,MATCH($A9,Lookups!$A$5:$A$75,0))</f>
        <v>North America</v>
      </c>
      <c r="E9" s="15" t="n">
        <f aca="false">SUMIFS(Data!$V$2:$V$351,Data!$A$2:$A$351,E$3,Data!$C$2:$C$351,$A9)</f>
        <v>146959</v>
      </c>
      <c r="F9" s="15" t="n">
        <f aca="false">SUMIFS(Data!$V$2:$V$351,Data!$A$2:$A$351,F$3,Data!$C$2:$C$351,$A9)</f>
        <v>265480</v>
      </c>
      <c r="G9" s="15" t="n">
        <f aca="false">SUMIFS(Data!$V$2:$V$351,Data!$A$2:$A$351,G$3,Data!$C$2:$C$351,$A9)</f>
        <v>393969</v>
      </c>
      <c r="H9" s="15" t="n">
        <f aca="false">SUMIFS(Data!$V$2:$V$351,Data!$A$2:$A$351,H$3,Data!$C$2:$C$351,$A9)</f>
        <v>550169</v>
      </c>
      <c r="I9" s="15" t="n">
        <f aca="false">SUMIFS(Data!$V$2:$V$351,Data!$A$2:$A$351,I$3,Data!$C$2:$C$351,$A9)</f>
        <v>648202</v>
      </c>
      <c r="J9" s="15" t="n">
        <f aca="false">SUMIFS(Data!$V$2:$V$351,Data!$A$2:$A$351,J$3,Data!$C$2:$C$351,$A9)</f>
        <v>435298</v>
      </c>
      <c r="K9" s="15" t="n">
        <f aca="false">J9-E9</f>
        <v>288339</v>
      </c>
      <c r="L9" s="15" t="n">
        <f aca="false">J9-I9</f>
        <v>-212904</v>
      </c>
      <c r="M9" s="17" t="n">
        <f aca="false">IF(I9&gt;0,L9/I9,"")</f>
        <v>-0.328453167376836</v>
      </c>
      <c r="N9" s="22" t="n">
        <f aca="false">J9/J$74</f>
        <v>0.0566591242304841</v>
      </c>
      <c r="O9" s="15" t="n">
        <f aca="false">MAX(E9:J9)</f>
        <v>648202</v>
      </c>
      <c r="P9" s="25" t="n">
        <f aca="false">INDEX($E$3:$J$3,MATCH(O9,E9:J9,0))</f>
        <v>2024</v>
      </c>
      <c r="Q9" s="15" t="n">
        <f aca="false">INDEX(E9:J9,MATCH(Explorer!$C$4,$E$3:$J$3,0))</f>
        <v>435298</v>
      </c>
      <c r="R9" s="33" t="n">
        <f aca="false">Q9-ROW()/1000000</f>
        <v>435297.999991</v>
      </c>
      <c r="S9" s="25" t="n">
        <f aca="false">RANK(R9,$R$4:$R$73)</f>
        <v>6</v>
      </c>
    </row>
    <row r="10" customFormat="false" ht="15" hidden="false" customHeight="false" outlineLevel="0" collapsed="false">
      <c r="A10" s="9" t="s">
        <v>161</v>
      </c>
      <c r="B10" s="9" t="str">
        <f aca="false">INDEX(Lookups!$B$5:$B$75,MATCH($A10,Lookups!$A$5:$A$75,0))</f>
        <v>Spain</v>
      </c>
      <c r="C10" s="9" t="str">
        <f aca="false">INDEX(Lookups!$C$5:$C$75,MATCH($A10,Lookups!$A$5:$A$75,0))</f>
        <v>Europe</v>
      </c>
      <c r="D10" s="9" t="str">
        <f aca="false">INDEX(Lookups!$D$5:$D$75,MATCH($A10,Lookups!$A$5:$A$75,0))</f>
        <v>Europe</v>
      </c>
      <c r="E10" s="15" t="n">
        <f aca="false">SUMIFS(Data!$V$2:$V$351,Data!$A$2:$A$351,E$3,Data!$C$2:$C$351,$A10)</f>
        <v>94705</v>
      </c>
      <c r="F10" s="15" t="n">
        <f aca="false">SUMIFS(Data!$V$2:$V$351,Data!$A$2:$A$351,F$3,Data!$C$2:$C$351,$A10)</f>
        <v>107697</v>
      </c>
      <c r="G10" s="15" t="n">
        <f aca="false">SUMIFS(Data!$V$2:$V$351,Data!$A$2:$A$351,G$3,Data!$C$2:$C$351,$A10)</f>
        <v>139444</v>
      </c>
      <c r="H10" s="15" t="n">
        <f aca="false">SUMIFS(Data!$V$2:$V$351,Data!$A$2:$A$351,H$3,Data!$C$2:$C$351,$A10)</f>
        <v>188209</v>
      </c>
      <c r="I10" s="15" t="n">
        <f aca="false">SUMIFS(Data!$V$2:$V$351,Data!$A$2:$A$351,I$3,Data!$C$2:$C$351,$A10)</f>
        <v>221390</v>
      </c>
      <c r="J10" s="15" t="n">
        <f aca="false">SUMIFS(Data!$V$2:$V$351,Data!$A$2:$A$351,J$3,Data!$C$2:$C$351,$A10)</f>
        <v>283741</v>
      </c>
      <c r="K10" s="15" t="n">
        <f aca="false">J10-E10</f>
        <v>189036</v>
      </c>
      <c r="L10" s="15" t="n">
        <f aca="false">J10-I10</f>
        <v>62351</v>
      </c>
      <c r="M10" s="17" t="n">
        <f aca="false">IF(I10&gt;0,L10/I10,"")</f>
        <v>0.281634220154479</v>
      </c>
      <c r="N10" s="22" t="n">
        <f aca="false">J10/J$74</f>
        <v>0.0369322086668944</v>
      </c>
      <c r="O10" s="15" t="n">
        <f aca="false">MAX(E10:J10)</f>
        <v>283741</v>
      </c>
      <c r="P10" s="25" t="n">
        <f aca="false">INDEX($E$3:$J$3,MATCH(O10,E10:J10,0))</f>
        <v>2025</v>
      </c>
      <c r="Q10" s="15" t="n">
        <f aca="false">INDEX(E10:J10,MATCH(Explorer!$C$4,$E$3:$J$3,0))</f>
        <v>283741</v>
      </c>
      <c r="R10" s="33" t="n">
        <f aca="false">Q10-ROW()/1000000</f>
        <v>283740.99999</v>
      </c>
      <c r="S10" s="25" t="n">
        <f aca="false">RANK(R10,$R$4:$R$73)</f>
        <v>7</v>
      </c>
    </row>
    <row r="11" customFormat="false" ht="15" hidden="false" customHeight="false" outlineLevel="0" collapsed="false">
      <c r="A11" s="9" t="s">
        <v>162</v>
      </c>
      <c r="B11" s="9" t="str">
        <f aca="false">INDEX(Lookups!$B$5:$B$75,MATCH($A11,Lookups!$A$5:$A$75,0))</f>
        <v>Argentina</v>
      </c>
      <c r="C11" s="9" t="str">
        <f aca="false">INDEX(Lookups!$C$5:$C$75,MATCH($A11,Lookups!$A$5:$A$75,0))</f>
        <v>Latin America &amp; Caribbean</v>
      </c>
      <c r="D11" s="9" t="str">
        <f aca="false">INDEX(Lookups!$D$5:$D$75,MATCH($A11,Lookups!$A$5:$A$75,0))</f>
        <v>Southern Cone &amp; Brazil</v>
      </c>
      <c r="E11" s="15" t="n">
        <f aca="false">SUMIFS(Data!$V$2:$V$351,Data!$A$2:$A$351,E$3,Data!$C$2:$C$351,$A11)</f>
        <v>175797</v>
      </c>
      <c r="F11" s="15" t="n">
        <f aca="false">SUMIFS(Data!$V$2:$V$351,Data!$A$2:$A$351,F$3,Data!$C$2:$C$351,$A11)</f>
        <v>170517</v>
      </c>
      <c r="G11" s="15" t="n">
        <f aca="false">SUMIFS(Data!$V$2:$V$351,Data!$A$2:$A$351,G$3,Data!$C$2:$C$351,$A11)</f>
        <v>171050</v>
      </c>
      <c r="H11" s="15" t="n">
        <f aca="false">SUMIFS(Data!$V$2:$V$351,Data!$A$2:$A$351,H$3,Data!$C$2:$C$351,$A11)</f>
        <v>217742</v>
      </c>
      <c r="I11" s="15" t="n">
        <f aca="false">SUMIFS(Data!$V$2:$V$351,Data!$A$2:$A$351,I$3,Data!$C$2:$C$351,$A11)</f>
        <v>165616</v>
      </c>
      <c r="J11" s="15" t="n">
        <f aca="false">SUMIFS(Data!$V$2:$V$351,Data!$A$2:$A$351,J$3,Data!$C$2:$C$351,$A11)</f>
        <v>174794</v>
      </c>
      <c r="K11" s="15" t="n">
        <f aca="false">J11-E11</f>
        <v>-1003</v>
      </c>
      <c r="L11" s="15" t="n">
        <f aca="false">J11-I11</f>
        <v>9178</v>
      </c>
      <c r="M11" s="17" t="n">
        <f aca="false">IF(I11&gt;0,L11/I11,"")</f>
        <v>0.0554173509805816</v>
      </c>
      <c r="N11" s="22" t="n">
        <f aca="false">J11/J$74</f>
        <v>0.022751482801996</v>
      </c>
      <c r="O11" s="15" t="n">
        <f aca="false">MAX(E11:J11)</f>
        <v>217742</v>
      </c>
      <c r="P11" s="25" t="n">
        <f aca="false">INDEX($E$3:$J$3,MATCH(O11,E11:J11,0))</f>
        <v>2023</v>
      </c>
      <c r="Q11" s="15" t="n">
        <f aca="false">INDEX(E11:J11,MATCH(Explorer!$C$4,$E$3:$J$3,0))</f>
        <v>174794</v>
      </c>
      <c r="R11" s="33" t="n">
        <f aca="false">Q11-ROW()/1000000</f>
        <v>174793.999989</v>
      </c>
      <c r="S11" s="25" t="n">
        <f aca="false">RANK(R11,$R$4:$R$73)</f>
        <v>8</v>
      </c>
    </row>
    <row r="12" customFormat="false" ht="15" hidden="false" customHeight="false" outlineLevel="0" collapsed="false">
      <c r="A12" s="9" t="s">
        <v>163</v>
      </c>
      <c r="B12" s="9" t="str">
        <f aca="false">INDEX(Lookups!$B$5:$B$75,MATCH($A12,Lookups!$A$5:$A$75,0))</f>
        <v>Mexico</v>
      </c>
      <c r="C12" s="9" t="str">
        <f aca="false">INDEX(Lookups!$C$5:$C$75,MATCH($A12,Lookups!$A$5:$A$75,0))</f>
        <v>Latin America &amp; Caribbean</v>
      </c>
      <c r="D12" s="9" t="str">
        <f aca="false">INDEX(Lookups!$D$5:$D$75,MATCH($A12,Lookups!$A$5:$A$75,0))</f>
        <v>Central America &amp; Mexico</v>
      </c>
      <c r="E12" s="15" t="n">
        <f aca="false">SUMIFS(Data!$V$2:$V$351,Data!$A$2:$A$351,E$3,Data!$C$2:$C$351,$A12)</f>
        <v>102223</v>
      </c>
      <c r="F12" s="15" t="n">
        <f aca="false">SUMIFS(Data!$V$2:$V$351,Data!$A$2:$A$351,F$3,Data!$C$2:$C$351,$A12)</f>
        <v>88976</v>
      </c>
      <c r="G12" s="15" t="n">
        <f aca="false">SUMIFS(Data!$V$2:$V$351,Data!$A$2:$A$351,G$3,Data!$C$2:$C$351,$A12)</f>
        <v>205631</v>
      </c>
      <c r="H12" s="15" t="n">
        <f aca="false">SUMIFS(Data!$V$2:$V$351,Data!$A$2:$A$351,H$3,Data!$C$2:$C$351,$A12)</f>
        <v>127025</v>
      </c>
      <c r="I12" s="15" t="n">
        <f aca="false">SUMIFS(Data!$V$2:$V$351,Data!$A$2:$A$351,I$3,Data!$C$2:$C$351,$A12)</f>
        <v>134126</v>
      </c>
      <c r="J12" s="15" t="n">
        <f aca="false">SUMIFS(Data!$V$2:$V$351,Data!$A$2:$A$351,J$3,Data!$C$2:$C$351,$A12)</f>
        <v>106015</v>
      </c>
      <c r="K12" s="15" t="n">
        <f aca="false">J12-E12</f>
        <v>3792</v>
      </c>
      <c r="L12" s="15" t="n">
        <f aca="false">J12-I12</f>
        <v>-28111</v>
      </c>
      <c r="M12" s="17" t="n">
        <f aca="false">IF(I12&gt;0,L12/I12,"")</f>
        <v>-0.209586508208699</v>
      </c>
      <c r="N12" s="22" t="n">
        <f aca="false">J12/J$74</f>
        <v>0.0137990917837775</v>
      </c>
      <c r="O12" s="15" t="n">
        <f aca="false">MAX(E12:J12)</f>
        <v>205631</v>
      </c>
      <c r="P12" s="25" t="n">
        <f aca="false">INDEX($E$3:$J$3,MATCH(O12,E12:J12,0))</f>
        <v>2022</v>
      </c>
      <c r="Q12" s="15" t="n">
        <f aca="false">INDEX(E12:J12,MATCH(Explorer!$C$4,$E$3:$J$3,0))</f>
        <v>106015</v>
      </c>
      <c r="R12" s="33" t="n">
        <f aca="false">Q12-ROW()/1000000</f>
        <v>106014.999988</v>
      </c>
      <c r="S12" s="25" t="n">
        <f aca="false">RANK(R12,$R$4:$R$73)</f>
        <v>9</v>
      </c>
    </row>
    <row r="13" customFormat="false" ht="15" hidden="false" customHeight="false" outlineLevel="0" collapsed="false">
      <c r="A13" s="9" t="s">
        <v>164</v>
      </c>
      <c r="B13" s="9" t="str">
        <f aca="false">INDEX(Lookups!$B$5:$B$75,MATCH($A13,Lookups!$A$5:$A$75,0))</f>
        <v>Dominican Republic</v>
      </c>
      <c r="C13" s="9" t="str">
        <f aca="false">INDEX(Lookups!$C$5:$C$75,MATCH($A13,Lookups!$A$5:$A$75,0))</f>
        <v>Latin America &amp; Caribbean</v>
      </c>
      <c r="D13" s="9" t="str">
        <f aca="false">INDEX(Lookups!$D$5:$D$75,MATCH($A13,Lookups!$A$5:$A$75,0))</f>
        <v>Caribbean &amp; Guianas</v>
      </c>
      <c r="E13" s="15" t="n">
        <f aca="false">SUMIFS(Data!$V$2:$V$351,Data!$A$2:$A$351,E$3,Data!$C$2:$C$351,$A13)</f>
        <v>114325</v>
      </c>
      <c r="F13" s="15" t="n">
        <f aca="false">SUMIFS(Data!$V$2:$V$351,Data!$A$2:$A$351,F$3,Data!$C$2:$C$351,$A13)</f>
        <v>116278</v>
      </c>
      <c r="G13" s="15" t="n">
        <f aca="false">SUMIFS(Data!$V$2:$V$351,Data!$A$2:$A$351,G$3,Data!$C$2:$C$351,$A13)</f>
        <v>115283</v>
      </c>
      <c r="H13" s="15" t="n">
        <f aca="false">SUMIFS(Data!$V$2:$V$351,Data!$A$2:$A$351,H$3,Data!$C$2:$C$351,$A13)</f>
        <v>124141</v>
      </c>
      <c r="I13" s="15" t="n">
        <f aca="false">SUMIFS(Data!$V$2:$V$351,Data!$A$2:$A$351,I$3,Data!$C$2:$C$351,$A13)</f>
        <v>125549</v>
      </c>
      <c r="J13" s="15" t="n">
        <f aca="false">SUMIFS(Data!$V$2:$V$351,Data!$A$2:$A$351,J$3,Data!$C$2:$C$351,$A13)</f>
        <v>99692</v>
      </c>
      <c r="K13" s="15" t="n">
        <f aca="false">J13-E13</f>
        <v>-14633</v>
      </c>
      <c r="L13" s="15" t="n">
        <f aca="false">J13-I13</f>
        <v>-25857</v>
      </c>
      <c r="M13" s="17" t="n">
        <f aca="false">IF(I13&gt;0,L13/I13,"")</f>
        <v>-0.205951461182487</v>
      </c>
      <c r="N13" s="22" t="n">
        <f aca="false">J13/J$74</f>
        <v>0.0129760794048799</v>
      </c>
      <c r="O13" s="15" t="n">
        <f aca="false">MAX(E13:J13)</f>
        <v>125549</v>
      </c>
      <c r="P13" s="25" t="n">
        <f aca="false">INDEX($E$3:$J$3,MATCH(O13,E13:J13,0))</f>
        <v>2024</v>
      </c>
      <c r="Q13" s="15" t="n">
        <f aca="false">INDEX(E13:J13,MATCH(Explorer!$C$4,$E$3:$J$3,0))</f>
        <v>99692</v>
      </c>
      <c r="R13" s="33" t="n">
        <f aca="false">Q13-ROW()/1000000</f>
        <v>99691.999987</v>
      </c>
      <c r="S13" s="25" t="n">
        <f aca="false">RANK(R13,$R$4:$R$73)</f>
        <v>10</v>
      </c>
    </row>
    <row r="14" customFormat="false" ht="15" hidden="false" customHeight="false" outlineLevel="0" collapsed="false">
      <c r="A14" s="9" t="s">
        <v>165</v>
      </c>
      <c r="B14" s="9" t="str">
        <f aca="false">INDEX(Lookups!$B$5:$B$75,MATCH($A14,Lookups!$A$5:$A$75,0))</f>
        <v>Panama</v>
      </c>
      <c r="C14" s="9" t="str">
        <f aca="false">INDEX(Lookups!$C$5:$C$75,MATCH($A14,Lookups!$A$5:$A$75,0))</f>
        <v>Latin America &amp; Caribbean</v>
      </c>
      <c r="D14" s="9" t="str">
        <f aca="false">INDEX(Lookups!$D$5:$D$75,MATCH($A14,Lookups!$A$5:$A$75,0))</f>
        <v>Central America &amp; Mexico</v>
      </c>
      <c r="E14" s="15" t="n">
        <f aca="false">SUMIFS(Data!$V$2:$V$351,Data!$A$2:$A$351,E$3,Data!$C$2:$C$351,$A14)</f>
        <v>121598</v>
      </c>
      <c r="F14" s="15" t="n">
        <f aca="false">SUMIFS(Data!$V$2:$V$351,Data!$A$2:$A$351,F$3,Data!$C$2:$C$351,$A14)</f>
        <v>130514</v>
      </c>
      <c r="G14" s="15" t="n">
        <f aca="false">SUMIFS(Data!$V$2:$V$351,Data!$A$2:$A$351,G$3,Data!$C$2:$C$351,$A14)</f>
        <v>147627</v>
      </c>
      <c r="H14" s="15" t="n">
        <f aca="false">SUMIFS(Data!$V$2:$V$351,Data!$A$2:$A$351,H$3,Data!$C$2:$C$351,$A14)</f>
        <v>58243</v>
      </c>
      <c r="I14" s="15" t="n">
        <f aca="false">SUMIFS(Data!$V$2:$V$351,Data!$A$2:$A$351,I$3,Data!$C$2:$C$351,$A14)</f>
        <v>57979</v>
      </c>
      <c r="J14" s="15" t="n">
        <f aca="false">SUMIFS(Data!$V$2:$V$351,Data!$A$2:$A$351,J$3,Data!$C$2:$C$351,$A14)</f>
        <v>57845</v>
      </c>
      <c r="K14" s="15" t="n">
        <f aca="false">J14-E14</f>
        <v>-63753</v>
      </c>
      <c r="L14" s="15" t="n">
        <f aca="false">J14-I14</f>
        <v>-134</v>
      </c>
      <c r="M14" s="17" t="n">
        <f aca="false">IF(I14&gt;0,L14/I14,"")</f>
        <v>-0.00231118163472982</v>
      </c>
      <c r="N14" s="22" t="n">
        <f aca="false">J14/J$74</f>
        <v>0.00752920307723066</v>
      </c>
      <c r="O14" s="15" t="n">
        <f aca="false">MAX(E14:J14)</f>
        <v>147627</v>
      </c>
      <c r="P14" s="25" t="n">
        <f aca="false">INDEX($E$3:$J$3,MATCH(O14,E14:J14,0))</f>
        <v>2022</v>
      </c>
      <c r="Q14" s="15" t="n">
        <f aca="false">INDEX(E14:J14,MATCH(Explorer!$C$4,$E$3:$J$3,0))</f>
        <v>57845</v>
      </c>
      <c r="R14" s="33" t="n">
        <f aca="false">Q14-ROW()/1000000</f>
        <v>57844.999986</v>
      </c>
      <c r="S14" s="25" t="n">
        <f aca="false">RANK(R14,$R$4:$R$73)</f>
        <v>11</v>
      </c>
    </row>
    <row r="15" customFormat="false" ht="15" hidden="false" customHeight="false" outlineLevel="0" collapsed="false">
      <c r="A15" s="9" t="s">
        <v>166</v>
      </c>
      <c r="B15" s="9" t="str">
        <f aca="false">INDEX(Lookups!$B$5:$B$75,MATCH($A15,Lookups!$A$5:$A$75,0))</f>
        <v>Costa Rica</v>
      </c>
      <c r="C15" s="9" t="str">
        <f aca="false">INDEX(Lookups!$C$5:$C$75,MATCH($A15,Lookups!$A$5:$A$75,0))</f>
        <v>Latin America &amp; Caribbean</v>
      </c>
      <c r="D15" s="9" t="str">
        <f aca="false">INDEX(Lookups!$D$5:$D$75,MATCH($A15,Lookups!$A$5:$A$75,0))</f>
        <v>Central America &amp; Mexico</v>
      </c>
      <c r="E15" s="15" t="n">
        <f aca="false">SUMIFS(Data!$V$2:$V$351,Data!$A$2:$A$351,E$3,Data!$C$2:$C$351,$A15)</f>
        <v>29089</v>
      </c>
      <c r="F15" s="15" t="n">
        <f aca="false">SUMIFS(Data!$V$2:$V$351,Data!$A$2:$A$351,F$3,Data!$C$2:$C$351,$A15)</f>
        <v>30546</v>
      </c>
      <c r="G15" s="15" t="n">
        <f aca="false">SUMIFS(Data!$V$2:$V$351,Data!$A$2:$A$351,G$3,Data!$C$2:$C$351,$A15)</f>
        <v>30107</v>
      </c>
      <c r="H15" s="15" t="n">
        <f aca="false">SUMIFS(Data!$V$2:$V$351,Data!$A$2:$A$351,H$3,Data!$C$2:$C$351,$A15)</f>
        <v>31974</v>
      </c>
      <c r="I15" s="15" t="n">
        <f aca="false">SUMIFS(Data!$V$2:$V$351,Data!$A$2:$A$351,I$3,Data!$C$2:$C$351,$A15)</f>
        <v>29344</v>
      </c>
      <c r="J15" s="15" t="n">
        <f aca="false">SUMIFS(Data!$V$2:$V$351,Data!$A$2:$A$351,J$3,Data!$C$2:$C$351,$A15)</f>
        <v>29493</v>
      </c>
      <c r="K15" s="15" t="n">
        <f aca="false">J15-E15</f>
        <v>404</v>
      </c>
      <c r="L15" s="15" t="n">
        <f aca="false">J15-I15</f>
        <v>149</v>
      </c>
      <c r="M15" s="17" t="n">
        <f aca="false">IF(I15&gt;0,L15/I15,"")</f>
        <v>0.00507769901853871</v>
      </c>
      <c r="N15" s="22" t="n">
        <f aca="false">J15/J$74</f>
        <v>0.00383885878393576</v>
      </c>
      <c r="O15" s="15" t="n">
        <f aca="false">MAX(E15:J15)</f>
        <v>31974</v>
      </c>
      <c r="P15" s="25" t="n">
        <f aca="false">INDEX($E$3:$J$3,MATCH(O15,E15:J15,0))</f>
        <v>2023</v>
      </c>
      <c r="Q15" s="15" t="n">
        <f aca="false">INDEX(E15:J15,MATCH(Explorer!$C$4,$E$3:$J$3,0))</f>
        <v>29493</v>
      </c>
      <c r="R15" s="33" t="n">
        <f aca="false">Q15-ROW()/1000000</f>
        <v>29492.999985</v>
      </c>
      <c r="S15" s="25" t="n">
        <f aca="false">RANK(R15,$R$4:$R$73)</f>
        <v>12</v>
      </c>
    </row>
    <row r="16" customFormat="false" ht="15" hidden="false" customHeight="false" outlineLevel="0" collapsed="false">
      <c r="A16" s="9" t="s">
        <v>167</v>
      </c>
      <c r="B16" s="9" t="str">
        <f aca="false">INDEX(Lookups!$B$5:$B$75,MATCH($A16,Lookups!$A$5:$A$75,0))</f>
        <v>Trinidad and Tobago</v>
      </c>
      <c r="C16" s="9" t="str">
        <f aca="false">INDEX(Lookups!$C$5:$C$75,MATCH($A16,Lookups!$A$5:$A$75,0))</f>
        <v>Latin America &amp; Caribbean</v>
      </c>
      <c r="D16" s="9" t="str">
        <f aca="false">INDEX(Lookups!$D$5:$D$75,MATCH($A16,Lookups!$A$5:$A$75,0))</f>
        <v>Caribbean &amp; Guianas</v>
      </c>
      <c r="E16" s="15" t="n">
        <f aca="false">SUMIFS(Data!$V$2:$V$351,Data!$A$2:$A$351,E$3,Data!$C$2:$C$351,$A16)</f>
        <v>24168</v>
      </c>
      <c r="F16" s="15" t="n">
        <f aca="false">SUMIFS(Data!$V$2:$V$351,Data!$A$2:$A$351,F$3,Data!$C$2:$C$351,$A16)</f>
        <v>29946</v>
      </c>
      <c r="G16" s="15" t="n">
        <f aca="false">SUMIFS(Data!$V$2:$V$351,Data!$A$2:$A$351,G$3,Data!$C$2:$C$351,$A16)</f>
        <v>35314</v>
      </c>
      <c r="H16" s="15" t="n">
        <f aca="false">SUMIFS(Data!$V$2:$V$351,Data!$A$2:$A$351,H$3,Data!$C$2:$C$351,$A16)</f>
        <v>36218</v>
      </c>
      <c r="I16" s="15" t="n">
        <f aca="false">SUMIFS(Data!$V$2:$V$351,Data!$A$2:$A$351,I$3,Data!$C$2:$C$351,$A16)</f>
        <v>29495</v>
      </c>
      <c r="J16" s="15" t="n">
        <f aca="false">SUMIFS(Data!$V$2:$V$351,Data!$A$2:$A$351,J$3,Data!$C$2:$C$351,$A16)</f>
        <v>26432</v>
      </c>
      <c r="K16" s="15" t="n">
        <f aca="false">J16-E16</f>
        <v>2264</v>
      </c>
      <c r="L16" s="15" t="n">
        <f aca="false">J16-I16</f>
        <v>-3063</v>
      </c>
      <c r="M16" s="17" t="n">
        <f aca="false">IF(I16&gt;0,L16/I16,"")</f>
        <v>-0.103848109849127</v>
      </c>
      <c r="N16" s="22" t="n">
        <f aca="false">J16/J$74</f>
        <v>0.00344043384453904</v>
      </c>
      <c r="O16" s="15" t="n">
        <f aca="false">MAX(E16:J16)</f>
        <v>36218</v>
      </c>
      <c r="P16" s="25" t="n">
        <f aca="false">INDEX($E$3:$J$3,MATCH(O16,E16:J16,0))</f>
        <v>2023</v>
      </c>
      <c r="Q16" s="15" t="n">
        <f aca="false">INDEX(E16:J16,MATCH(Explorer!$C$4,$E$3:$J$3,0))</f>
        <v>26432</v>
      </c>
      <c r="R16" s="33" t="n">
        <f aca="false">Q16-ROW()/1000000</f>
        <v>26431.999984</v>
      </c>
      <c r="S16" s="25" t="n">
        <f aca="false">RANK(R16,$R$4:$R$73)</f>
        <v>13</v>
      </c>
    </row>
    <row r="17" customFormat="false" ht="15" hidden="false" customHeight="false" outlineLevel="0" collapsed="false">
      <c r="A17" s="9" t="s">
        <v>168</v>
      </c>
      <c r="B17" s="9" t="str">
        <f aca="false">INDEX(Lookups!$B$5:$B$75,MATCH($A17,Lookups!$A$5:$A$75,0))</f>
        <v>Uruguay</v>
      </c>
      <c r="C17" s="9" t="str">
        <f aca="false">INDEX(Lookups!$C$5:$C$75,MATCH($A17,Lookups!$A$5:$A$75,0))</f>
        <v>Latin America &amp; Caribbean</v>
      </c>
      <c r="D17" s="9" t="str">
        <f aca="false">INDEX(Lookups!$D$5:$D$75,MATCH($A17,Lookups!$A$5:$A$75,0))</f>
        <v>Southern Cone &amp; Brazil</v>
      </c>
      <c r="E17" s="15" t="n">
        <f aca="false">SUMIFS(Data!$V$2:$V$351,Data!$A$2:$A$351,E$3,Data!$C$2:$C$351,$A17)</f>
        <v>14924</v>
      </c>
      <c r="F17" s="15" t="n">
        <f aca="false">SUMIFS(Data!$V$2:$V$351,Data!$A$2:$A$351,F$3,Data!$C$2:$C$351,$A17)</f>
        <v>17473</v>
      </c>
      <c r="G17" s="15" t="n">
        <f aca="false">SUMIFS(Data!$V$2:$V$351,Data!$A$2:$A$351,G$3,Data!$C$2:$C$351,$A17)</f>
        <v>26494</v>
      </c>
      <c r="H17" s="15" t="n">
        <f aca="false">SUMIFS(Data!$V$2:$V$351,Data!$A$2:$A$351,H$3,Data!$C$2:$C$351,$A17)</f>
        <v>32939</v>
      </c>
      <c r="I17" s="15" t="n">
        <f aca="false">SUMIFS(Data!$V$2:$V$351,Data!$A$2:$A$351,I$3,Data!$C$2:$C$351,$A17)</f>
        <v>41166</v>
      </c>
      <c r="J17" s="15" t="n">
        <f aca="false">SUMIFS(Data!$V$2:$V$351,Data!$A$2:$A$351,J$3,Data!$C$2:$C$351,$A17)</f>
        <v>24998</v>
      </c>
      <c r="K17" s="15" t="n">
        <f aca="false">J17-E17</f>
        <v>10074</v>
      </c>
      <c r="L17" s="15" t="n">
        <f aca="false">J17-I17</f>
        <v>-16168</v>
      </c>
      <c r="M17" s="17" t="n">
        <f aca="false">IF(I17&gt;0,L17/I17,"")</f>
        <v>-0.392751299616188</v>
      </c>
      <c r="N17" s="22" t="n">
        <f aca="false">J17/J$74</f>
        <v>0.00325378197812451</v>
      </c>
      <c r="O17" s="15" t="n">
        <f aca="false">MAX(E17:J17)</f>
        <v>41166</v>
      </c>
      <c r="P17" s="25" t="n">
        <f aca="false">INDEX($E$3:$J$3,MATCH(O17,E17:J17,0))</f>
        <v>2024</v>
      </c>
      <c r="Q17" s="15" t="n">
        <f aca="false">INDEX(E17:J17,MATCH(Explorer!$C$4,$E$3:$J$3,0))</f>
        <v>24998</v>
      </c>
      <c r="R17" s="33" t="n">
        <f aca="false">Q17-ROW()/1000000</f>
        <v>24997.999983</v>
      </c>
      <c r="S17" s="25" t="n">
        <f aca="false">RANK(R17,$R$4:$R$73)</f>
        <v>14</v>
      </c>
    </row>
    <row r="18" customFormat="false" ht="15" hidden="false" customHeight="false" outlineLevel="0" collapsed="false">
      <c r="A18" s="9" t="s">
        <v>169</v>
      </c>
      <c r="B18" s="9" t="str">
        <f aca="false">INDEX(Lookups!$B$5:$B$75,MATCH($A18,Lookups!$A$5:$A$75,0))</f>
        <v>Guyana</v>
      </c>
      <c r="C18" s="9" t="str">
        <f aca="false">INDEX(Lookups!$C$5:$C$75,MATCH($A18,Lookups!$A$5:$A$75,0))</f>
        <v>Latin America &amp; Caribbean</v>
      </c>
      <c r="D18" s="9" t="str">
        <f aca="false">INDEX(Lookups!$D$5:$D$75,MATCH($A18,Lookups!$A$5:$A$75,0))</f>
        <v>Caribbean &amp; Guianas</v>
      </c>
      <c r="E18" s="15" t="n">
        <f aca="false">SUMIFS(Data!$V$2:$V$351,Data!$A$2:$A$351,E$3,Data!$C$2:$C$351,$A18)</f>
        <v>23307</v>
      </c>
      <c r="F18" s="15" t="n">
        <f aca="false">SUMIFS(Data!$V$2:$V$351,Data!$A$2:$A$351,F$3,Data!$C$2:$C$351,$A18)</f>
        <v>25800</v>
      </c>
      <c r="G18" s="15" t="n">
        <f aca="false">SUMIFS(Data!$V$2:$V$351,Data!$A$2:$A$351,G$3,Data!$C$2:$C$351,$A18)</f>
        <v>19642</v>
      </c>
      <c r="H18" s="15" t="n">
        <f aca="false">SUMIFS(Data!$V$2:$V$351,Data!$A$2:$A$351,H$3,Data!$C$2:$C$351,$A18)</f>
        <v>21675</v>
      </c>
      <c r="I18" s="15" t="n">
        <f aca="false">SUMIFS(Data!$V$2:$V$351,Data!$A$2:$A$351,I$3,Data!$C$2:$C$351,$A18)</f>
        <v>23411</v>
      </c>
      <c r="J18" s="15" t="n">
        <f aca="false">SUMIFS(Data!$V$2:$V$351,Data!$A$2:$A$351,J$3,Data!$C$2:$C$351,$A18)</f>
        <v>23413</v>
      </c>
      <c r="K18" s="15" t="n">
        <f aca="false">J18-E18</f>
        <v>106</v>
      </c>
      <c r="L18" s="15" t="n">
        <f aca="false">J18-I18</f>
        <v>2</v>
      </c>
      <c r="M18" s="17" t="n">
        <f aca="false">IF(I18&gt;0,L18/I18,"")</f>
        <v>8.54299261031139E-005</v>
      </c>
      <c r="N18" s="22" t="n">
        <f aca="false">J18/J$74</f>
        <v>0.00304747569620886</v>
      </c>
      <c r="O18" s="15" t="n">
        <f aca="false">MAX(E18:J18)</f>
        <v>25800</v>
      </c>
      <c r="P18" s="25" t="n">
        <f aca="false">INDEX($E$3:$J$3,MATCH(O18,E18:J18,0))</f>
        <v>2021</v>
      </c>
      <c r="Q18" s="15" t="n">
        <f aca="false">INDEX(E18:J18,MATCH(Explorer!$C$4,$E$3:$J$3,0))</f>
        <v>23413</v>
      </c>
      <c r="R18" s="33" t="n">
        <f aca="false">Q18-ROW()/1000000</f>
        <v>23412.999982</v>
      </c>
      <c r="S18" s="25" t="n">
        <f aca="false">RANK(R18,$R$4:$R$73)</f>
        <v>15</v>
      </c>
    </row>
    <row r="19" customFormat="false" ht="15" hidden="false" customHeight="false" outlineLevel="0" collapsed="false">
      <c r="A19" s="9" t="s">
        <v>170</v>
      </c>
      <c r="B19" s="9" t="str">
        <f aca="false">INDEX(Lookups!$B$5:$B$75,MATCH($A19,Lookups!$A$5:$A$75,0))</f>
        <v>Honduras</v>
      </c>
      <c r="C19" s="9" t="str">
        <f aca="false">INDEX(Lookups!$C$5:$C$75,MATCH($A19,Lookups!$A$5:$A$75,0))</f>
        <v>Latin America &amp; Caribbean</v>
      </c>
      <c r="D19" s="9" t="str">
        <f aca="false">INDEX(Lookups!$D$5:$D$75,MATCH($A19,Lookups!$A$5:$A$75,0))</f>
        <v>Central America &amp; Mexico</v>
      </c>
      <c r="E19" s="15" t="n">
        <f aca="false">SUMIFS(Data!$V$2:$V$351,Data!$A$2:$A$351,E$3,Data!$C$2:$C$351,$A19)</f>
        <v>12</v>
      </c>
      <c r="F19" s="15" t="n">
        <f aca="false">SUMIFS(Data!$V$2:$V$351,Data!$A$2:$A$351,F$3,Data!$C$2:$C$351,$A19)</f>
        <v>25</v>
      </c>
      <c r="G19" s="15" t="n">
        <f aca="false">SUMIFS(Data!$V$2:$V$351,Data!$A$2:$A$351,G$3,Data!$C$2:$C$351,$A19)</f>
        <v>55097</v>
      </c>
      <c r="H19" s="15" t="n">
        <f aca="false">SUMIFS(Data!$V$2:$V$351,Data!$A$2:$A$351,H$3,Data!$C$2:$C$351,$A19)</f>
        <v>60995</v>
      </c>
      <c r="I19" s="15" t="n">
        <f aca="false">SUMIFS(Data!$V$2:$V$351,Data!$A$2:$A$351,I$3,Data!$C$2:$C$351,$A19)</f>
        <v>85476</v>
      </c>
      <c r="J19" s="15" t="n">
        <f aca="false">SUMIFS(Data!$V$2:$V$351,Data!$A$2:$A$351,J$3,Data!$C$2:$C$351,$A19)</f>
        <v>19241</v>
      </c>
      <c r="K19" s="15" t="n">
        <f aca="false">J19-E19</f>
        <v>19229</v>
      </c>
      <c r="L19" s="15" t="n">
        <f aca="false">J19-I19</f>
        <v>-66235</v>
      </c>
      <c r="M19" s="17" t="n">
        <f aca="false">IF(I19&gt;0,L19/I19,"")</f>
        <v>-0.774895877205297</v>
      </c>
      <c r="N19" s="22" t="n">
        <f aca="false">J19/J$74</f>
        <v>0.0025044411169331</v>
      </c>
      <c r="O19" s="15" t="n">
        <f aca="false">MAX(E19:J19)</f>
        <v>85476</v>
      </c>
      <c r="P19" s="25" t="n">
        <f aca="false">INDEX($E$3:$J$3,MATCH(O19,E19:J19,0))</f>
        <v>2024</v>
      </c>
      <c r="Q19" s="15" t="n">
        <f aca="false">INDEX(E19:J19,MATCH(Explorer!$C$4,$E$3:$J$3,0))</f>
        <v>19241</v>
      </c>
      <c r="R19" s="33" t="n">
        <f aca="false">Q19-ROW()/1000000</f>
        <v>19240.999981</v>
      </c>
      <c r="S19" s="25" t="n">
        <f aca="false">RANK(R19,$R$4:$R$73)</f>
        <v>16</v>
      </c>
    </row>
    <row r="20" customFormat="false" ht="15" hidden="false" customHeight="false" outlineLevel="0" collapsed="false">
      <c r="A20" s="9" t="s">
        <v>171</v>
      </c>
      <c r="B20" s="9" t="str">
        <f aca="false">INDEX(Lookups!$B$5:$B$75,MATCH($A20,Lookups!$A$5:$A$75,0))</f>
        <v>Bolivia</v>
      </c>
      <c r="C20" s="9" t="str">
        <f aca="false">INDEX(Lookups!$C$5:$C$75,MATCH($A20,Lookups!$A$5:$A$75,0))</f>
        <v>Latin America &amp; Caribbean</v>
      </c>
      <c r="D20" s="9" t="str">
        <f aca="false">INDEX(Lookups!$D$5:$D$75,MATCH($A20,Lookups!$A$5:$A$75,0))</f>
        <v>Andean region</v>
      </c>
      <c r="E20" s="15" t="n">
        <f aca="false">SUMIFS(Data!$V$2:$V$351,Data!$A$2:$A$351,E$3,Data!$C$2:$C$351,$A20)</f>
        <v>9956</v>
      </c>
      <c r="F20" s="15" t="n">
        <f aca="false">SUMIFS(Data!$V$2:$V$351,Data!$A$2:$A$351,F$3,Data!$C$2:$C$351,$A20)</f>
        <v>12071</v>
      </c>
      <c r="G20" s="15" t="n">
        <f aca="false">SUMIFS(Data!$V$2:$V$351,Data!$A$2:$A$351,G$3,Data!$C$2:$C$351,$A20)</f>
        <v>13774</v>
      </c>
      <c r="H20" s="15" t="n">
        <f aca="false">SUMIFS(Data!$V$2:$V$351,Data!$A$2:$A$351,H$3,Data!$C$2:$C$351,$A20)</f>
        <v>16350</v>
      </c>
      <c r="I20" s="15" t="n">
        <f aca="false">SUMIFS(Data!$V$2:$V$351,Data!$A$2:$A$351,I$3,Data!$C$2:$C$351,$A20)</f>
        <v>29039</v>
      </c>
      <c r="J20" s="15" t="n">
        <f aca="false">SUMIFS(Data!$V$2:$V$351,Data!$A$2:$A$351,J$3,Data!$C$2:$C$351,$A20)</f>
        <v>17138</v>
      </c>
      <c r="K20" s="15" t="n">
        <f aca="false">J20-E20</f>
        <v>7182</v>
      </c>
      <c r="L20" s="15" t="n">
        <f aca="false">J20-I20</f>
        <v>-11901</v>
      </c>
      <c r="M20" s="17" t="n">
        <f aca="false">IF(I20&gt;0,L20/I20,"")</f>
        <v>-0.409828162126795</v>
      </c>
      <c r="N20" s="22" t="n">
        <f aca="false">J20/J$74</f>
        <v>0.00223071107853019</v>
      </c>
      <c r="O20" s="15" t="n">
        <f aca="false">MAX(E20:J20)</f>
        <v>29039</v>
      </c>
      <c r="P20" s="25" t="n">
        <f aca="false">INDEX($E$3:$J$3,MATCH(O20,E20:J20,0))</f>
        <v>2024</v>
      </c>
      <c r="Q20" s="15" t="n">
        <f aca="false">INDEX(E20:J20,MATCH(Explorer!$C$4,$E$3:$J$3,0))</f>
        <v>17138</v>
      </c>
      <c r="R20" s="33" t="n">
        <f aca="false">Q20-ROW()/1000000</f>
        <v>17137.99998</v>
      </c>
      <c r="S20" s="25" t="n">
        <f aca="false">RANK(R20,$R$4:$R$73)</f>
        <v>17</v>
      </c>
    </row>
    <row r="21" customFormat="false" ht="15" hidden="false" customHeight="false" outlineLevel="0" collapsed="false">
      <c r="A21" s="9" t="s">
        <v>172</v>
      </c>
      <c r="B21" s="9" t="str">
        <f aca="false">INDEX(Lookups!$B$5:$B$75,MATCH($A21,Lookups!$A$5:$A$75,0))</f>
        <v>Guatemala</v>
      </c>
      <c r="C21" s="9" t="str">
        <f aca="false">INDEX(Lookups!$C$5:$C$75,MATCH($A21,Lookups!$A$5:$A$75,0))</f>
        <v>Latin America &amp; Caribbean</v>
      </c>
      <c r="D21" s="9" t="str">
        <f aca="false">INDEX(Lookups!$D$5:$D$75,MATCH($A21,Lookups!$A$5:$A$75,0))</f>
        <v>Central America &amp; Mexico</v>
      </c>
      <c r="E21" s="15" t="n">
        <f aca="false">SUMIFS(Data!$V$2:$V$351,Data!$A$2:$A$351,E$3,Data!$C$2:$C$351,$A21)</f>
        <v>103</v>
      </c>
      <c r="F21" s="15" t="n">
        <f aca="false">SUMIFS(Data!$V$2:$V$351,Data!$A$2:$A$351,F$3,Data!$C$2:$C$351,$A21)</f>
        <v>1631</v>
      </c>
      <c r="G21" s="15" t="n">
        <f aca="false">SUMIFS(Data!$V$2:$V$351,Data!$A$2:$A$351,G$3,Data!$C$2:$C$351,$A21)</f>
        <v>11835</v>
      </c>
      <c r="H21" s="15" t="n">
        <f aca="false">SUMIFS(Data!$V$2:$V$351,Data!$A$2:$A$351,H$3,Data!$C$2:$C$351,$A21)</f>
        <v>12093</v>
      </c>
      <c r="I21" s="15" t="n">
        <f aca="false">SUMIFS(Data!$V$2:$V$351,Data!$A$2:$A$351,I$3,Data!$C$2:$C$351,$A21)</f>
        <v>97458</v>
      </c>
      <c r="J21" s="15" t="n">
        <f aca="false">SUMIFS(Data!$V$2:$V$351,Data!$A$2:$A$351,J$3,Data!$C$2:$C$351,$A21)</f>
        <v>15230</v>
      </c>
      <c r="K21" s="15" t="n">
        <f aca="false">J21-E21</f>
        <v>15127</v>
      </c>
      <c r="L21" s="15" t="n">
        <f aca="false">J21-I21</f>
        <v>-82228</v>
      </c>
      <c r="M21" s="17" t="n">
        <f aca="false">IF(I21&gt;0,L21/I21,"")</f>
        <v>-0.843727554433705</v>
      </c>
      <c r="N21" s="22" t="n">
        <f aca="false">J21/J$74</f>
        <v>0.00198236257007906</v>
      </c>
      <c r="O21" s="15" t="n">
        <f aca="false">MAX(E21:J21)</f>
        <v>97458</v>
      </c>
      <c r="P21" s="25" t="n">
        <f aca="false">INDEX($E$3:$J$3,MATCH(O21,E21:J21,0))</f>
        <v>2024</v>
      </c>
      <c r="Q21" s="15" t="n">
        <f aca="false">INDEX(E21:J21,MATCH(Explorer!$C$4,$E$3:$J$3,0))</f>
        <v>15230</v>
      </c>
      <c r="R21" s="33" t="n">
        <f aca="false">Q21-ROW()/1000000</f>
        <v>15229.999979</v>
      </c>
      <c r="S21" s="25" t="n">
        <f aca="false">RANK(R21,$R$4:$R$73)</f>
        <v>18</v>
      </c>
    </row>
    <row r="22" customFormat="false" ht="15" hidden="false" customHeight="false" outlineLevel="0" collapsed="false">
      <c r="A22" s="9" t="s">
        <v>173</v>
      </c>
      <c r="B22" s="9" t="str">
        <f aca="false">INDEX(Lookups!$B$5:$B$75,MATCH($A22,Lookups!$A$5:$A$75,0))</f>
        <v>Aruba</v>
      </c>
      <c r="C22" s="9" t="str">
        <f aca="false">INDEX(Lookups!$C$5:$C$75,MATCH($A22,Lookups!$A$5:$A$75,0))</f>
        <v>Latin America &amp; Caribbean</v>
      </c>
      <c r="D22" s="9" t="str">
        <f aca="false">INDEX(Lookups!$D$5:$D$75,MATCH($A22,Lookups!$A$5:$A$75,0))</f>
        <v>Caribbean &amp; Guianas</v>
      </c>
      <c r="E22" s="15" t="n">
        <f aca="false">SUMIFS(Data!$V$2:$V$351,Data!$A$2:$A$351,E$3,Data!$C$2:$C$351,$A22)</f>
        <v>17000</v>
      </c>
      <c r="F22" s="15" t="n">
        <f aca="false">SUMIFS(Data!$V$2:$V$351,Data!$A$2:$A$351,F$3,Data!$C$2:$C$351,$A22)</f>
        <v>17000</v>
      </c>
      <c r="G22" s="15" t="n">
        <f aca="false">SUMIFS(Data!$V$2:$V$351,Data!$A$2:$A$351,G$3,Data!$C$2:$C$351,$A22)</f>
        <v>17000</v>
      </c>
      <c r="H22" s="15" t="n">
        <f aca="false">SUMIFS(Data!$V$2:$V$351,Data!$A$2:$A$351,H$3,Data!$C$2:$C$351,$A22)</f>
        <v>17085</v>
      </c>
      <c r="I22" s="15" t="n">
        <f aca="false">SUMIFS(Data!$V$2:$V$351,Data!$A$2:$A$351,I$3,Data!$C$2:$C$351,$A22)</f>
        <v>11470</v>
      </c>
      <c r="J22" s="15" t="n">
        <f aca="false">SUMIFS(Data!$V$2:$V$351,Data!$A$2:$A$351,J$3,Data!$C$2:$C$351,$A22)</f>
        <v>11470</v>
      </c>
      <c r="K22" s="15" t="n">
        <f aca="false">J22-E22</f>
        <v>-5530</v>
      </c>
      <c r="L22" s="15" t="n">
        <f aca="false">J22-I22</f>
        <v>0</v>
      </c>
      <c r="M22" s="17" t="n">
        <f aca="false">IF(I22&gt;0,L22/I22,"")</f>
        <v>0</v>
      </c>
      <c r="N22" s="22" t="n">
        <f aca="false">J22/J$74</f>
        <v>0.00149295460793216</v>
      </c>
      <c r="O22" s="15" t="n">
        <f aca="false">MAX(E22:J22)</f>
        <v>17085</v>
      </c>
      <c r="P22" s="25" t="n">
        <f aca="false">INDEX($E$3:$J$3,MATCH(O22,E22:J22,0))</f>
        <v>2023</v>
      </c>
      <c r="Q22" s="15" t="n">
        <f aca="false">INDEX(E22:J22,MATCH(Explorer!$C$4,$E$3:$J$3,0))</f>
        <v>11470</v>
      </c>
      <c r="R22" s="33" t="n">
        <f aca="false">Q22-ROW()/1000000</f>
        <v>11469.999978</v>
      </c>
      <c r="S22" s="25" t="n">
        <f aca="false">RANK(R22,$R$4:$R$73)</f>
        <v>19</v>
      </c>
    </row>
    <row r="23" customFormat="false" ht="15" hidden="false" customHeight="false" outlineLevel="0" collapsed="false">
      <c r="A23" s="9" t="s">
        <v>174</v>
      </c>
      <c r="B23" s="9" t="str">
        <f aca="false">INDEX(Lookups!$B$5:$B$75,MATCH($A23,Lookups!$A$5:$A$75,0))</f>
        <v>Italy</v>
      </c>
      <c r="C23" s="9" t="str">
        <f aca="false">INDEX(Lookups!$C$5:$C$75,MATCH($A23,Lookups!$A$5:$A$75,0))</f>
        <v>Europe</v>
      </c>
      <c r="D23" s="9" t="str">
        <f aca="false">INDEX(Lookups!$D$5:$D$75,MATCH($A23,Lookups!$A$5:$A$75,0))</f>
        <v>Europe</v>
      </c>
      <c r="E23" s="15" t="n">
        <f aca="false">SUMIFS(Data!$V$2:$V$351,Data!$A$2:$A$351,E$3,Data!$C$2:$C$351,$A23)</f>
        <v>2899</v>
      </c>
      <c r="F23" s="15" t="n">
        <f aca="false">SUMIFS(Data!$V$2:$V$351,Data!$A$2:$A$351,F$3,Data!$C$2:$C$351,$A23)</f>
        <v>3297</v>
      </c>
      <c r="G23" s="15" t="n">
        <f aca="false">SUMIFS(Data!$V$2:$V$351,Data!$A$2:$A$351,G$3,Data!$C$2:$C$351,$A23)</f>
        <v>4510</v>
      </c>
      <c r="H23" s="15" t="n">
        <f aca="false">SUMIFS(Data!$V$2:$V$351,Data!$A$2:$A$351,H$3,Data!$C$2:$C$351,$A23)</f>
        <v>5773</v>
      </c>
      <c r="I23" s="15" t="n">
        <f aca="false">SUMIFS(Data!$V$2:$V$351,Data!$A$2:$A$351,I$3,Data!$C$2:$C$351,$A23)</f>
        <v>7682</v>
      </c>
      <c r="J23" s="15" t="n">
        <f aca="false">SUMIFS(Data!$V$2:$V$351,Data!$A$2:$A$351,J$3,Data!$C$2:$C$351,$A23)</f>
        <v>9021</v>
      </c>
      <c r="K23" s="15" t="n">
        <f aca="false">J23-E23</f>
        <v>6122</v>
      </c>
      <c r="L23" s="15" t="n">
        <f aca="false">J23-I23</f>
        <v>1339</v>
      </c>
      <c r="M23" s="17" t="n">
        <f aca="false">IF(I23&gt;0,L23/I23,"")</f>
        <v>0.174303566779485</v>
      </c>
      <c r="N23" s="22" t="n">
        <f aca="false">J23/J$74</f>
        <v>0.00117418862407637</v>
      </c>
      <c r="O23" s="15" t="n">
        <f aca="false">MAX(E23:J23)</f>
        <v>9021</v>
      </c>
      <c r="P23" s="25" t="n">
        <f aca="false">INDEX($E$3:$J$3,MATCH(O23,E23:J23,0))</f>
        <v>2025</v>
      </c>
      <c r="Q23" s="15" t="n">
        <f aca="false">INDEX(E23:J23,MATCH(Explorer!$C$4,$E$3:$J$3,0))</f>
        <v>9021</v>
      </c>
      <c r="R23" s="33" t="n">
        <f aca="false">Q23-ROW()/1000000</f>
        <v>9020.999977</v>
      </c>
      <c r="S23" s="25" t="n">
        <f aca="false">RANK(R23,$R$4:$R$73)</f>
        <v>20</v>
      </c>
    </row>
    <row r="24" customFormat="false" ht="15" hidden="false" customHeight="false" outlineLevel="0" collapsed="false">
      <c r="A24" s="9" t="s">
        <v>175</v>
      </c>
      <c r="B24" s="9" t="str">
        <f aca="false">INDEX(Lookups!$B$5:$B$75,MATCH($A24,Lookups!$A$5:$A$75,0))</f>
        <v>Germany</v>
      </c>
      <c r="C24" s="9" t="str">
        <f aca="false">INDEX(Lookups!$C$5:$C$75,MATCH($A24,Lookups!$A$5:$A$75,0))</f>
        <v>Europe</v>
      </c>
      <c r="D24" s="9" t="str">
        <f aca="false">INDEX(Lookups!$D$5:$D$75,MATCH($A24,Lookups!$A$5:$A$75,0))</f>
        <v>Europe</v>
      </c>
      <c r="E24" s="15" t="n">
        <f aca="false">SUMIFS(Data!$V$2:$V$351,Data!$A$2:$A$351,E$3,Data!$C$2:$C$351,$A24)</f>
        <v>1505</v>
      </c>
      <c r="F24" s="15" t="n">
        <f aca="false">SUMIFS(Data!$V$2:$V$351,Data!$A$2:$A$351,F$3,Data!$C$2:$C$351,$A24)</f>
        <v>1841</v>
      </c>
      <c r="G24" s="15" t="n">
        <f aca="false">SUMIFS(Data!$V$2:$V$351,Data!$A$2:$A$351,G$3,Data!$C$2:$C$351,$A24)</f>
        <v>3173</v>
      </c>
      <c r="H24" s="15" t="n">
        <f aca="false">SUMIFS(Data!$V$2:$V$351,Data!$A$2:$A$351,H$3,Data!$C$2:$C$351,$A24)</f>
        <v>6678</v>
      </c>
      <c r="I24" s="15" t="n">
        <f aca="false">SUMIFS(Data!$V$2:$V$351,Data!$A$2:$A$351,I$3,Data!$C$2:$C$351,$A24)</f>
        <v>8380</v>
      </c>
      <c r="J24" s="15" t="n">
        <f aca="false">SUMIFS(Data!$V$2:$V$351,Data!$A$2:$A$351,J$3,Data!$C$2:$C$351,$A24)</f>
        <v>8672</v>
      </c>
      <c r="K24" s="15" t="n">
        <f aca="false">J24-E24</f>
        <v>7167</v>
      </c>
      <c r="L24" s="15" t="n">
        <f aca="false">J24-I24</f>
        <v>292</v>
      </c>
      <c r="M24" s="17" t="n">
        <f aca="false">IF(I24&gt;0,L24/I24,"")</f>
        <v>0.0348448687350835</v>
      </c>
      <c r="N24" s="22" t="n">
        <f aca="false">J24/J$74</f>
        <v>0.00112876219354731</v>
      </c>
      <c r="O24" s="15" t="n">
        <f aca="false">MAX(E24:J24)</f>
        <v>8672</v>
      </c>
      <c r="P24" s="25" t="n">
        <f aca="false">INDEX($E$3:$J$3,MATCH(O24,E24:J24,0))</f>
        <v>2025</v>
      </c>
      <c r="Q24" s="15" t="n">
        <f aca="false">INDEX(E24:J24,MATCH(Explorer!$C$4,$E$3:$J$3,0))</f>
        <v>8672</v>
      </c>
      <c r="R24" s="33" t="n">
        <f aca="false">Q24-ROW()/1000000</f>
        <v>8671.999976</v>
      </c>
      <c r="S24" s="25" t="n">
        <f aca="false">RANK(R24,$R$4:$R$73)</f>
        <v>21</v>
      </c>
    </row>
    <row r="25" customFormat="false" ht="15" hidden="false" customHeight="false" outlineLevel="0" collapsed="false">
      <c r="A25" s="9" t="s">
        <v>176</v>
      </c>
      <c r="B25" s="9" t="str">
        <f aca="false">INDEX(Lookups!$B$5:$B$75,MATCH($A25,Lookups!$A$5:$A$75,0))</f>
        <v>Canada</v>
      </c>
      <c r="C25" s="9" t="str">
        <f aca="false">INDEX(Lookups!$C$5:$C$75,MATCH($A25,Lookups!$A$5:$A$75,0))</f>
        <v>North America</v>
      </c>
      <c r="D25" s="9" t="str">
        <f aca="false">INDEX(Lookups!$D$5:$D$75,MATCH($A25,Lookups!$A$5:$A$75,0))</f>
        <v>North America</v>
      </c>
      <c r="E25" s="15" t="n">
        <f aca="false">SUMIFS(Data!$V$2:$V$351,Data!$A$2:$A$351,E$3,Data!$C$2:$C$351,$A25)</f>
        <v>4524</v>
      </c>
      <c r="F25" s="15" t="n">
        <f aca="false">SUMIFS(Data!$V$2:$V$351,Data!$A$2:$A$351,F$3,Data!$C$2:$C$351,$A25)</f>
        <v>4856</v>
      </c>
      <c r="G25" s="15" t="n">
        <f aca="false">SUMIFS(Data!$V$2:$V$351,Data!$A$2:$A$351,G$3,Data!$C$2:$C$351,$A25)</f>
        <v>3601</v>
      </c>
      <c r="H25" s="15" t="n">
        <f aca="false">SUMIFS(Data!$V$2:$V$351,Data!$A$2:$A$351,H$3,Data!$C$2:$C$351,$A25)</f>
        <v>4932</v>
      </c>
      <c r="I25" s="15" t="n">
        <f aca="false">SUMIFS(Data!$V$2:$V$351,Data!$A$2:$A$351,I$3,Data!$C$2:$C$351,$A25)</f>
        <v>6859</v>
      </c>
      <c r="J25" s="15" t="n">
        <f aca="false">SUMIFS(Data!$V$2:$V$351,Data!$A$2:$A$351,J$3,Data!$C$2:$C$351,$A25)</f>
        <v>7436</v>
      </c>
      <c r="K25" s="15" t="n">
        <f aca="false">J25-E25</f>
        <v>2912</v>
      </c>
      <c r="L25" s="15" t="n">
        <f aca="false">J25-I25</f>
        <v>577</v>
      </c>
      <c r="M25" s="17" t="n">
        <f aca="false">IF(I25&gt;0,L25/I25,"")</f>
        <v>0.0841230500072897</v>
      </c>
      <c r="N25" s="22" t="n">
        <f aca="false">J25/J$74</f>
        <v>0.000967882342160726</v>
      </c>
      <c r="O25" s="15" t="n">
        <f aca="false">MAX(E25:J25)</f>
        <v>7436</v>
      </c>
      <c r="P25" s="25" t="n">
        <f aca="false">INDEX($E$3:$J$3,MATCH(O25,E25:J25,0))</f>
        <v>2025</v>
      </c>
      <c r="Q25" s="15" t="n">
        <f aca="false">INDEX(E25:J25,MATCH(Explorer!$C$4,$E$3:$J$3,0))</f>
        <v>7436</v>
      </c>
      <c r="R25" s="33" t="n">
        <f aca="false">Q25-ROW()/1000000</f>
        <v>7435.999975</v>
      </c>
      <c r="S25" s="25" t="n">
        <f aca="false">RANK(R25,$R$4:$R$73)</f>
        <v>22</v>
      </c>
    </row>
    <row r="26" customFormat="false" ht="15" hidden="false" customHeight="false" outlineLevel="0" collapsed="false">
      <c r="A26" s="9" t="s">
        <v>177</v>
      </c>
      <c r="B26" s="9" t="str">
        <f aca="false">INDEX(Lookups!$B$5:$B$75,MATCH($A26,Lookups!$A$5:$A$75,0))</f>
        <v>Curaçao</v>
      </c>
      <c r="C26" s="9" t="str">
        <f aca="false">INDEX(Lookups!$C$5:$C$75,MATCH($A26,Lookups!$A$5:$A$75,0))</f>
        <v>Latin America &amp; Caribbean</v>
      </c>
      <c r="D26" s="9" t="str">
        <f aca="false">INDEX(Lookups!$D$5:$D$75,MATCH($A26,Lookups!$A$5:$A$75,0))</f>
        <v>Caribbean &amp; Guianas</v>
      </c>
      <c r="E26" s="15" t="n">
        <f aca="false">SUMIFS(Data!$V$2:$V$351,Data!$A$2:$A$351,E$3,Data!$C$2:$C$351,$A26)</f>
        <v>17000</v>
      </c>
      <c r="F26" s="15" t="n">
        <f aca="false">SUMIFS(Data!$V$2:$V$351,Data!$A$2:$A$351,F$3,Data!$C$2:$C$351,$A26)</f>
        <v>17000</v>
      </c>
      <c r="G26" s="15" t="n">
        <f aca="false">SUMIFS(Data!$V$2:$V$351,Data!$A$2:$A$351,G$3,Data!$C$2:$C$351,$A26)</f>
        <v>14000</v>
      </c>
      <c r="H26" s="15" t="n">
        <f aca="false">SUMIFS(Data!$V$2:$V$351,Data!$A$2:$A$351,H$3,Data!$C$2:$C$351,$A26)</f>
        <v>14000</v>
      </c>
      <c r="I26" s="15" t="n">
        <f aca="false">SUMIFS(Data!$V$2:$V$351,Data!$A$2:$A$351,I$3,Data!$C$2:$C$351,$A26)</f>
        <v>11593</v>
      </c>
      <c r="J26" s="15" t="n">
        <f aca="false">SUMIFS(Data!$V$2:$V$351,Data!$A$2:$A$351,J$3,Data!$C$2:$C$351,$A26)</f>
        <v>6903</v>
      </c>
      <c r="K26" s="15" t="n">
        <f aca="false">J26-E26</f>
        <v>-10097</v>
      </c>
      <c r="L26" s="15" t="n">
        <f aca="false">J26-I26</f>
        <v>-4690</v>
      </c>
      <c r="M26" s="17" t="n">
        <f aca="false">IF(I26&gt;0,L26/I26,"")</f>
        <v>-0.404554472526525</v>
      </c>
      <c r="N26" s="22" t="n">
        <f aca="false">J26/J$74</f>
        <v>0.000898506160292562</v>
      </c>
      <c r="O26" s="15" t="n">
        <f aca="false">MAX(E26:J26)</f>
        <v>17000</v>
      </c>
      <c r="P26" s="25" t="n">
        <f aca="false">INDEX($E$3:$J$3,MATCH(O26,E26:J26,0))</f>
        <v>2020</v>
      </c>
      <c r="Q26" s="15" t="n">
        <f aca="false">INDEX(E26:J26,MATCH(Explorer!$C$4,$E$3:$J$3,0))</f>
        <v>6903</v>
      </c>
      <c r="R26" s="33" t="n">
        <f aca="false">Q26-ROW()/1000000</f>
        <v>6902.999974</v>
      </c>
      <c r="S26" s="25" t="n">
        <f aca="false">RANK(R26,$R$4:$R$73)</f>
        <v>23</v>
      </c>
    </row>
    <row r="27" customFormat="false" ht="15" hidden="false" customHeight="false" outlineLevel="0" collapsed="false">
      <c r="A27" s="9" t="s">
        <v>178</v>
      </c>
      <c r="B27" s="9" t="str">
        <f aca="false">INDEX(Lookups!$B$5:$B$75,MATCH($A27,Lookups!$A$5:$A$75,0))</f>
        <v>Paraguay</v>
      </c>
      <c r="C27" s="9" t="str">
        <f aca="false">INDEX(Lookups!$C$5:$C$75,MATCH($A27,Lookups!$A$5:$A$75,0))</f>
        <v>Latin America &amp; Caribbean</v>
      </c>
      <c r="D27" s="9" t="str">
        <f aca="false">INDEX(Lookups!$D$5:$D$75,MATCH($A27,Lookups!$A$5:$A$75,0))</f>
        <v>Southern Cone &amp; Brazil</v>
      </c>
      <c r="E27" s="15" t="n">
        <f aca="false">SUMIFS(Data!$V$2:$V$351,Data!$A$2:$A$351,E$3,Data!$C$2:$C$351,$A27)</f>
        <v>4925</v>
      </c>
      <c r="F27" s="15" t="n">
        <f aca="false">SUMIFS(Data!$V$2:$V$351,Data!$A$2:$A$351,F$3,Data!$C$2:$C$351,$A27)</f>
        <v>5762</v>
      </c>
      <c r="G27" s="15" t="n">
        <f aca="false">SUMIFS(Data!$V$2:$V$351,Data!$A$2:$A$351,G$3,Data!$C$2:$C$351,$A27)</f>
        <v>5769</v>
      </c>
      <c r="H27" s="15" t="n">
        <f aca="false">SUMIFS(Data!$V$2:$V$351,Data!$A$2:$A$351,H$3,Data!$C$2:$C$351,$A27)</f>
        <v>5394</v>
      </c>
      <c r="I27" s="15" t="n">
        <f aca="false">SUMIFS(Data!$V$2:$V$351,Data!$A$2:$A$351,I$3,Data!$C$2:$C$351,$A27)</f>
        <v>5580</v>
      </c>
      <c r="J27" s="15" t="n">
        <f aca="false">SUMIFS(Data!$V$2:$V$351,Data!$A$2:$A$351,J$3,Data!$C$2:$C$351,$A27)</f>
        <v>3925</v>
      </c>
      <c r="K27" s="15" t="n">
        <f aca="false">J27-E27</f>
        <v>-1000</v>
      </c>
      <c r="L27" s="15" t="n">
        <f aca="false">J27-I27</f>
        <v>-1655</v>
      </c>
      <c r="M27" s="17" t="n">
        <f aca="false">IF(I27&gt;0,L27/I27,"")</f>
        <v>-0.296594982078853</v>
      </c>
      <c r="N27" s="22" t="n">
        <f aca="false">J27/J$74</f>
        <v>0.000510884641336854</v>
      </c>
      <c r="O27" s="15" t="n">
        <f aca="false">MAX(E27:J27)</f>
        <v>5769</v>
      </c>
      <c r="P27" s="25" t="n">
        <f aca="false">INDEX($E$3:$J$3,MATCH(O27,E27:J27,0))</f>
        <v>2022</v>
      </c>
      <c r="Q27" s="15" t="n">
        <f aca="false">INDEX(E27:J27,MATCH(Explorer!$C$4,$E$3:$J$3,0))</f>
        <v>3925</v>
      </c>
      <c r="R27" s="33" t="n">
        <f aca="false">Q27-ROW()/1000000</f>
        <v>3924.999973</v>
      </c>
      <c r="S27" s="25" t="n">
        <f aca="false">RANK(R27,$R$4:$R$73)</f>
        <v>24</v>
      </c>
    </row>
    <row r="28" customFormat="false" ht="15" hidden="false" customHeight="false" outlineLevel="0" collapsed="false">
      <c r="A28" s="9" t="s">
        <v>179</v>
      </c>
      <c r="B28" s="9" t="str">
        <f aca="false">INDEX(Lookups!$B$5:$B$75,MATCH($A28,Lookups!$A$5:$A$75,0))</f>
        <v>France</v>
      </c>
      <c r="C28" s="9" t="str">
        <f aca="false">INDEX(Lookups!$C$5:$C$75,MATCH($A28,Lookups!$A$5:$A$75,0))</f>
        <v>Europe</v>
      </c>
      <c r="D28" s="9" t="str">
        <f aca="false">INDEX(Lookups!$D$5:$D$75,MATCH($A28,Lookups!$A$5:$A$75,0))</f>
        <v>Europe</v>
      </c>
      <c r="E28" s="15" t="n">
        <f aca="false">SUMIFS(Data!$V$2:$V$351,Data!$A$2:$A$351,E$3,Data!$C$2:$C$351,$A28)</f>
        <v>1526</v>
      </c>
      <c r="F28" s="15" t="n">
        <f aca="false">SUMIFS(Data!$V$2:$V$351,Data!$A$2:$A$351,F$3,Data!$C$2:$C$351,$A28)</f>
        <v>1657</v>
      </c>
      <c r="G28" s="15" t="n">
        <f aca="false">SUMIFS(Data!$V$2:$V$351,Data!$A$2:$A$351,G$3,Data!$C$2:$C$351,$A28)</f>
        <v>2192</v>
      </c>
      <c r="H28" s="15" t="n">
        <f aca="false">SUMIFS(Data!$V$2:$V$351,Data!$A$2:$A$351,H$3,Data!$C$2:$C$351,$A28)</f>
        <v>2656</v>
      </c>
      <c r="I28" s="15" t="n">
        <f aca="false">SUMIFS(Data!$V$2:$V$351,Data!$A$2:$A$351,I$3,Data!$C$2:$C$351,$A28)</f>
        <v>3038</v>
      </c>
      <c r="J28" s="15" t="n">
        <f aca="false">SUMIFS(Data!$V$2:$V$351,Data!$A$2:$A$351,J$3,Data!$C$2:$C$351,$A28)</f>
        <v>3356</v>
      </c>
      <c r="K28" s="15" t="n">
        <f aca="false">J28-E28</f>
        <v>1830</v>
      </c>
      <c r="L28" s="15" t="n">
        <f aca="false">J28-I28</f>
        <v>318</v>
      </c>
      <c r="M28" s="17" t="n">
        <f aca="false">IF(I28&gt;0,L28/I28,"")</f>
        <v>0.104674127715602</v>
      </c>
      <c r="N28" s="22" t="n">
        <f aca="false">J28/J$74</f>
        <v>0.000436822638554518</v>
      </c>
      <c r="O28" s="15" t="n">
        <f aca="false">MAX(E28:J28)</f>
        <v>3356</v>
      </c>
      <c r="P28" s="25" t="n">
        <f aca="false">INDEX($E$3:$J$3,MATCH(O28,E28:J28,0))</f>
        <v>2025</v>
      </c>
      <c r="Q28" s="15" t="n">
        <f aca="false">INDEX(E28:J28,MATCH(Explorer!$C$4,$E$3:$J$3,0))</f>
        <v>3356</v>
      </c>
      <c r="R28" s="33" t="n">
        <f aca="false">Q28-ROW()/1000000</f>
        <v>3355.999972</v>
      </c>
      <c r="S28" s="25" t="n">
        <f aca="false">RANK(R28,$R$4:$R$73)</f>
        <v>25</v>
      </c>
    </row>
    <row r="29" customFormat="false" ht="15" hidden="false" customHeight="false" outlineLevel="0" collapsed="false">
      <c r="A29" s="9" t="s">
        <v>180</v>
      </c>
      <c r="B29" s="9" t="str">
        <f aca="false">INDEX(Lookups!$B$5:$B$75,MATCH($A29,Lookups!$A$5:$A$75,0))</f>
        <v>Iceland</v>
      </c>
      <c r="C29" s="9" t="str">
        <f aca="false">INDEX(Lookups!$C$5:$C$75,MATCH($A29,Lookups!$A$5:$A$75,0))</f>
        <v>Europe</v>
      </c>
      <c r="D29" s="9" t="str">
        <f aca="false">INDEX(Lookups!$D$5:$D$75,MATCH($A29,Lookups!$A$5:$A$75,0))</f>
        <v>Europe</v>
      </c>
      <c r="E29" s="15" t="n">
        <f aca="false">SUMIFS(Data!$V$2:$V$351,Data!$A$2:$A$351,E$3,Data!$C$2:$C$351,$A29)</f>
        <v>304</v>
      </c>
      <c r="F29" s="15" t="n">
        <f aca="false">SUMIFS(Data!$V$2:$V$351,Data!$A$2:$A$351,F$3,Data!$C$2:$C$351,$A29)</f>
        <v>619</v>
      </c>
      <c r="G29" s="15" t="n">
        <f aca="false">SUMIFS(Data!$V$2:$V$351,Data!$A$2:$A$351,G$3,Data!$C$2:$C$351,$A29)</f>
        <v>1768</v>
      </c>
      <c r="H29" s="15" t="n">
        <f aca="false">SUMIFS(Data!$V$2:$V$351,Data!$A$2:$A$351,H$3,Data!$C$2:$C$351,$A29)</f>
        <v>3249</v>
      </c>
      <c r="I29" s="15" t="n">
        <f aca="false">SUMIFS(Data!$V$2:$V$351,Data!$A$2:$A$351,I$3,Data!$C$2:$C$351,$A29)</f>
        <v>1995</v>
      </c>
      <c r="J29" s="15" t="n">
        <f aca="false">SUMIFS(Data!$V$2:$V$351,Data!$A$2:$A$351,J$3,Data!$C$2:$C$351,$A29)</f>
        <v>1414</v>
      </c>
      <c r="K29" s="15" t="n">
        <f aca="false">J29-E29</f>
        <v>1110</v>
      </c>
      <c r="L29" s="15" t="n">
        <f aca="false">J29-I29</f>
        <v>-581</v>
      </c>
      <c r="M29" s="17" t="n">
        <f aca="false">IF(I29&gt;0,L29/I29,"")</f>
        <v>-0.291228070175439</v>
      </c>
      <c r="N29" s="22" t="n">
        <f aca="false">J29/J$74</f>
        <v>0.000184048632573328</v>
      </c>
      <c r="O29" s="15" t="n">
        <f aca="false">MAX(E29:J29)</f>
        <v>3249</v>
      </c>
      <c r="P29" s="25" t="n">
        <f aca="false">INDEX($E$3:$J$3,MATCH(O29,E29:J29,0))</f>
        <v>2023</v>
      </c>
      <c r="Q29" s="15" t="n">
        <f aca="false">INDEX(E29:J29,MATCH(Explorer!$C$4,$E$3:$J$3,0))</f>
        <v>1414</v>
      </c>
      <c r="R29" s="33" t="n">
        <f aca="false">Q29-ROW()/1000000</f>
        <v>1413.999971</v>
      </c>
      <c r="S29" s="25" t="n">
        <f aca="false">RANK(R29,$R$4:$R$73)</f>
        <v>26</v>
      </c>
    </row>
    <row r="30" customFormat="false" ht="15" hidden="false" customHeight="false" outlineLevel="0" collapsed="false">
      <c r="A30" s="9" t="s">
        <v>181</v>
      </c>
      <c r="B30" s="9" t="str">
        <f aca="false">INDEX(Lookups!$B$5:$B$75,MATCH($A30,Lookups!$A$5:$A$75,0))</f>
        <v>Belgium</v>
      </c>
      <c r="C30" s="9" t="str">
        <f aca="false">INDEX(Lookups!$C$5:$C$75,MATCH($A30,Lookups!$A$5:$A$75,0))</f>
        <v>Europe</v>
      </c>
      <c r="D30" s="9" t="str">
        <f aca="false">INDEX(Lookups!$D$5:$D$75,MATCH($A30,Lookups!$A$5:$A$75,0))</f>
        <v>Europe</v>
      </c>
      <c r="E30" s="15" t="n">
        <f aca="false">SUMIFS(Data!$V$2:$V$351,Data!$A$2:$A$351,E$3,Data!$C$2:$C$351,$A30)</f>
        <v>904</v>
      </c>
      <c r="F30" s="15" t="n">
        <f aca="false">SUMIFS(Data!$V$2:$V$351,Data!$A$2:$A$351,F$3,Data!$C$2:$C$351,$A30)</f>
        <v>729</v>
      </c>
      <c r="G30" s="15" t="n">
        <f aca="false">SUMIFS(Data!$V$2:$V$351,Data!$A$2:$A$351,G$3,Data!$C$2:$C$351,$A30)</f>
        <v>858</v>
      </c>
      <c r="H30" s="15" t="n">
        <f aca="false">SUMIFS(Data!$V$2:$V$351,Data!$A$2:$A$351,H$3,Data!$C$2:$C$351,$A30)</f>
        <v>1151</v>
      </c>
      <c r="I30" s="15" t="n">
        <f aca="false">SUMIFS(Data!$V$2:$V$351,Data!$A$2:$A$351,I$3,Data!$C$2:$C$351,$A30)</f>
        <v>1376</v>
      </c>
      <c r="J30" s="15" t="n">
        <f aca="false">SUMIFS(Data!$V$2:$V$351,Data!$A$2:$A$351,J$3,Data!$C$2:$C$351,$A30)</f>
        <v>1198</v>
      </c>
      <c r="K30" s="15" t="n">
        <f aca="false">J30-E30</f>
        <v>294</v>
      </c>
      <c r="L30" s="15" t="n">
        <f aca="false">J30-I30</f>
        <v>-178</v>
      </c>
      <c r="M30" s="17" t="n">
        <f aca="false">IF(I30&gt;0,L30/I30,"")</f>
        <v>-0.129360465116279</v>
      </c>
      <c r="N30" s="22" t="n">
        <f aca="false">J30/J$74</f>
        <v>0.000155933707088293</v>
      </c>
      <c r="O30" s="15" t="n">
        <f aca="false">MAX(E30:J30)</f>
        <v>1376</v>
      </c>
      <c r="P30" s="25" t="n">
        <f aca="false">INDEX($E$3:$J$3,MATCH(O30,E30:J30,0))</f>
        <v>2024</v>
      </c>
      <c r="Q30" s="15" t="n">
        <f aca="false">INDEX(E30:J30,MATCH(Explorer!$C$4,$E$3:$J$3,0))</f>
        <v>1198</v>
      </c>
      <c r="R30" s="33" t="n">
        <f aca="false">Q30-ROW()/1000000</f>
        <v>1197.99997</v>
      </c>
      <c r="S30" s="25" t="n">
        <f aca="false">RANK(R30,$R$4:$R$73)</f>
        <v>27</v>
      </c>
    </row>
    <row r="31" customFormat="false" ht="15" hidden="false" customHeight="false" outlineLevel="0" collapsed="false">
      <c r="A31" s="9" t="s">
        <v>182</v>
      </c>
      <c r="B31" s="9" t="str">
        <f aca="false">INDEX(Lookups!$B$5:$B$75,MATCH($A31,Lookups!$A$5:$A$75,0))</f>
        <v>Netherlands</v>
      </c>
      <c r="C31" s="9" t="str">
        <f aca="false">INDEX(Lookups!$C$5:$C$75,MATCH($A31,Lookups!$A$5:$A$75,0))</f>
        <v>Europe</v>
      </c>
      <c r="D31" s="9" t="str">
        <f aca="false">INDEX(Lookups!$D$5:$D$75,MATCH($A31,Lookups!$A$5:$A$75,0))</f>
        <v>Europe</v>
      </c>
      <c r="E31" s="15" t="n">
        <f aca="false">SUMIFS(Data!$V$2:$V$351,Data!$A$2:$A$351,E$3,Data!$C$2:$C$351,$A31)</f>
        <v>227</v>
      </c>
      <c r="F31" s="15" t="n">
        <f aca="false">SUMIFS(Data!$V$2:$V$351,Data!$A$2:$A$351,F$3,Data!$C$2:$C$351,$A31)</f>
        <v>174</v>
      </c>
      <c r="G31" s="15" t="n">
        <f aca="false">SUMIFS(Data!$V$2:$V$351,Data!$A$2:$A$351,G$3,Data!$C$2:$C$351,$A31)</f>
        <v>389</v>
      </c>
      <c r="H31" s="15" t="n">
        <f aca="false">SUMIFS(Data!$V$2:$V$351,Data!$A$2:$A$351,H$3,Data!$C$2:$C$351,$A31)</f>
        <v>520</v>
      </c>
      <c r="I31" s="15" t="n">
        <f aca="false">SUMIFS(Data!$V$2:$V$351,Data!$A$2:$A$351,I$3,Data!$C$2:$C$351,$A31)</f>
        <v>681</v>
      </c>
      <c r="J31" s="15" t="n">
        <f aca="false">SUMIFS(Data!$V$2:$V$351,Data!$A$2:$A$351,J$3,Data!$C$2:$C$351,$A31)</f>
        <v>680</v>
      </c>
      <c r="K31" s="15" t="n">
        <f aca="false">J31-E31</f>
        <v>453</v>
      </c>
      <c r="L31" s="15" t="n">
        <f aca="false">J31-I31</f>
        <v>-1</v>
      </c>
      <c r="M31" s="17" t="n">
        <f aca="false">IF(I31&gt;0,L31/I31,"")</f>
        <v>-0.00146842878120411</v>
      </c>
      <c r="N31" s="22" t="n">
        <f aca="false">J31/J$74</f>
        <v>8.85099506010346E-005</v>
      </c>
      <c r="O31" s="15" t="n">
        <f aca="false">MAX(E31:J31)</f>
        <v>681</v>
      </c>
      <c r="P31" s="25" t="n">
        <f aca="false">INDEX($E$3:$J$3,MATCH(O31,E31:J31,0))</f>
        <v>2024</v>
      </c>
      <c r="Q31" s="15" t="n">
        <f aca="false">INDEX(E31:J31,MATCH(Explorer!$C$4,$E$3:$J$3,0))</f>
        <v>680</v>
      </c>
      <c r="R31" s="33" t="n">
        <f aca="false">Q31-ROW()/1000000</f>
        <v>679.999969</v>
      </c>
      <c r="S31" s="25" t="n">
        <f aca="false">RANK(R31,$R$4:$R$73)</f>
        <v>28</v>
      </c>
    </row>
    <row r="32" customFormat="false" ht="15" hidden="false" customHeight="false" outlineLevel="0" collapsed="false">
      <c r="A32" s="9" t="s">
        <v>183</v>
      </c>
      <c r="B32" s="9" t="str">
        <f aca="false">INDEX(Lookups!$B$5:$B$75,MATCH($A32,Lookups!$A$5:$A$75,0))</f>
        <v>Suriname</v>
      </c>
      <c r="C32" s="9" t="str">
        <f aca="false">INDEX(Lookups!$C$5:$C$75,MATCH($A32,Lookups!$A$5:$A$75,0))</f>
        <v>Latin America &amp; Caribbean</v>
      </c>
      <c r="D32" s="9" t="str">
        <f aca="false">INDEX(Lookups!$D$5:$D$75,MATCH($A32,Lookups!$A$5:$A$75,0))</f>
        <v>Caribbean &amp; Guianas</v>
      </c>
      <c r="E32" s="15" t="n">
        <f aca="false">SUMIFS(Data!$V$2:$V$351,Data!$A$2:$A$351,E$3,Data!$C$2:$C$351,$A32)</f>
        <v>279</v>
      </c>
      <c r="F32" s="15" t="n">
        <f aca="false">SUMIFS(Data!$V$2:$V$351,Data!$A$2:$A$351,F$3,Data!$C$2:$C$351,$A32)</f>
        <v>343</v>
      </c>
      <c r="G32" s="15" t="n">
        <f aca="false">SUMIFS(Data!$V$2:$V$351,Data!$A$2:$A$351,G$3,Data!$C$2:$C$351,$A32)</f>
        <v>443</v>
      </c>
      <c r="H32" s="15" t="n">
        <f aca="false">SUMIFS(Data!$V$2:$V$351,Data!$A$2:$A$351,H$3,Data!$C$2:$C$351,$A32)</f>
        <v>453</v>
      </c>
      <c r="I32" s="15" t="n">
        <f aca="false">SUMIFS(Data!$V$2:$V$351,Data!$A$2:$A$351,I$3,Data!$C$2:$C$351,$A32)</f>
        <v>494</v>
      </c>
      <c r="J32" s="15" t="n">
        <f aca="false">SUMIFS(Data!$V$2:$V$351,Data!$A$2:$A$351,J$3,Data!$C$2:$C$351,$A32)</f>
        <v>482</v>
      </c>
      <c r="K32" s="15" t="n">
        <f aca="false">J32-E32</f>
        <v>203</v>
      </c>
      <c r="L32" s="15" t="n">
        <f aca="false">J32-I32</f>
        <v>-12</v>
      </c>
      <c r="M32" s="17" t="n">
        <f aca="false">IF(I32&gt;0,L32/I32,"")</f>
        <v>-0.0242914979757085</v>
      </c>
      <c r="N32" s="22" t="n">
        <f aca="false">J32/J$74</f>
        <v>6.27379355730863E-005</v>
      </c>
      <c r="O32" s="15" t="n">
        <f aca="false">MAX(E32:J32)</f>
        <v>494</v>
      </c>
      <c r="P32" s="25" t="n">
        <f aca="false">INDEX($E$3:$J$3,MATCH(O32,E32:J32,0))</f>
        <v>2024</v>
      </c>
      <c r="Q32" s="15" t="n">
        <f aca="false">INDEX(E32:J32,MATCH(Explorer!$C$4,$E$3:$J$3,0))</f>
        <v>482</v>
      </c>
      <c r="R32" s="33" t="n">
        <f aca="false">Q32-ROW()/1000000</f>
        <v>481.999968</v>
      </c>
      <c r="S32" s="25" t="n">
        <f aca="false">RANK(R32,$R$4:$R$73)</f>
        <v>29</v>
      </c>
    </row>
    <row r="33" customFormat="false" ht="15" hidden="false" customHeight="false" outlineLevel="0" collapsed="false">
      <c r="A33" s="9" t="s">
        <v>184</v>
      </c>
      <c r="B33" s="9" t="str">
        <f aca="false">INDEX(Lookups!$B$5:$B$75,MATCH($A33,Lookups!$A$5:$A$75,0))</f>
        <v>Australia</v>
      </c>
      <c r="C33" s="9" t="str">
        <f aca="false">INDEX(Lookups!$C$5:$C$75,MATCH($A33,Lookups!$A$5:$A$75,0))</f>
        <v>Other regions</v>
      </c>
      <c r="D33" s="9" t="str">
        <f aca="false">INDEX(Lookups!$D$5:$D$75,MATCH($A33,Lookups!$A$5:$A$75,0))</f>
        <v>Rest of world</v>
      </c>
      <c r="E33" s="15" t="n">
        <f aca="false">SUMIFS(Data!$V$2:$V$351,Data!$A$2:$A$351,E$3,Data!$C$2:$C$351,$A33)</f>
        <v>449</v>
      </c>
      <c r="F33" s="15" t="n">
        <f aca="false">SUMIFS(Data!$V$2:$V$351,Data!$A$2:$A$351,F$3,Data!$C$2:$C$351,$A33)</f>
        <v>479</v>
      </c>
      <c r="G33" s="15" t="n">
        <f aca="false">SUMIFS(Data!$V$2:$V$351,Data!$A$2:$A$351,G$3,Data!$C$2:$C$351,$A33)</f>
        <v>504</v>
      </c>
      <c r="H33" s="15" t="n">
        <f aca="false">SUMIFS(Data!$V$2:$V$351,Data!$A$2:$A$351,H$3,Data!$C$2:$C$351,$A33)</f>
        <v>660</v>
      </c>
      <c r="I33" s="15" t="n">
        <f aca="false">SUMIFS(Data!$V$2:$V$351,Data!$A$2:$A$351,I$3,Data!$C$2:$C$351,$A33)</f>
        <v>361</v>
      </c>
      <c r="J33" s="15" t="n">
        <f aca="false">SUMIFS(Data!$V$2:$V$351,Data!$A$2:$A$351,J$3,Data!$C$2:$C$351,$A33)</f>
        <v>358</v>
      </c>
      <c r="K33" s="15" t="n">
        <f aca="false">J33-E33</f>
        <v>-91</v>
      </c>
      <c r="L33" s="15" t="n">
        <f aca="false">J33-I33</f>
        <v>-3</v>
      </c>
      <c r="M33" s="17" t="n">
        <f aca="false">IF(I33&gt;0,L33/I33,"")</f>
        <v>-0.00831024930747923</v>
      </c>
      <c r="N33" s="22" t="n">
        <f aca="false">J33/J$74</f>
        <v>4.65978857576035E-005</v>
      </c>
      <c r="O33" s="15" t="n">
        <f aca="false">MAX(E33:J33)</f>
        <v>660</v>
      </c>
      <c r="P33" s="25" t="n">
        <f aca="false">INDEX($E$3:$J$3,MATCH(O33,E33:J33,0))</f>
        <v>2023</v>
      </c>
      <c r="Q33" s="15" t="n">
        <f aca="false">INDEX(E33:J33,MATCH(Explorer!$C$4,$E$3:$J$3,0))</f>
        <v>358</v>
      </c>
      <c r="R33" s="33" t="n">
        <f aca="false">Q33-ROW()/1000000</f>
        <v>357.999967</v>
      </c>
      <c r="S33" s="25" t="n">
        <f aca="false">RANK(R33,$R$4:$R$73)</f>
        <v>30</v>
      </c>
    </row>
    <row r="34" customFormat="false" ht="15" hidden="false" customHeight="false" outlineLevel="0" collapsed="false">
      <c r="A34" s="9" t="s">
        <v>185</v>
      </c>
      <c r="B34" s="9" t="str">
        <f aca="false">INDEX(Lookups!$B$5:$B$75,MATCH($A34,Lookups!$A$5:$A$75,0))</f>
        <v>Portugal</v>
      </c>
      <c r="C34" s="9" t="str">
        <f aca="false">INDEX(Lookups!$C$5:$C$75,MATCH($A34,Lookups!$A$5:$A$75,0))</f>
        <v>Europe</v>
      </c>
      <c r="D34" s="9" t="str">
        <f aca="false">INDEX(Lookups!$D$5:$D$75,MATCH($A34,Lookups!$A$5:$A$75,0))</f>
        <v>Europe</v>
      </c>
      <c r="E34" s="15" t="n">
        <f aca="false">SUMIFS(Data!$V$2:$V$351,Data!$A$2:$A$351,E$3,Data!$C$2:$C$351,$A34)</f>
        <v>76</v>
      </c>
      <c r="F34" s="15" t="n">
        <f aca="false">SUMIFS(Data!$V$2:$V$351,Data!$A$2:$A$351,F$3,Data!$C$2:$C$351,$A34)</f>
        <v>76</v>
      </c>
      <c r="G34" s="15" t="n">
        <f aca="false">SUMIFS(Data!$V$2:$V$351,Data!$A$2:$A$351,G$3,Data!$C$2:$C$351,$A34)</f>
        <v>32</v>
      </c>
      <c r="H34" s="15" t="n">
        <f aca="false">SUMIFS(Data!$V$2:$V$351,Data!$A$2:$A$351,H$3,Data!$C$2:$C$351,$A34)</f>
        <v>46</v>
      </c>
      <c r="I34" s="15" t="n">
        <f aca="false">SUMIFS(Data!$V$2:$V$351,Data!$A$2:$A$351,I$3,Data!$C$2:$C$351,$A34)</f>
        <v>121</v>
      </c>
      <c r="J34" s="15" t="n">
        <f aca="false">SUMIFS(Data!$V$2:$V$351,Data!$A$2:$A$351,J$3,Data!$C$2:$C$351,$A34)</f>
        <v>340</v>
      </c>
      <c r="K34" s="15" t="n">
        <f aca="false">J34-E34</f>
        <v>264</v>
      </c>
      <c r="L34" s="15" t="n">
        <f aca="false">J34-I34</f>
        <v>219</v>
      </c>
      <c r="M34" s="17" t="n">
        <f aca="false">IF(I34&gt;0,L34/I34,"")</f>
        <v>1.8099173553719</v>
      </c>
      <c r="N34" s="22" t="n">
        <f aca="false">J34/J$74</f>
        <v>4.42549753005173E-005</v>
      </c>
      <c r="O34" s="15" t="n">
        <f aca="false">MAX(E34:J34)</f>
        <v>340</v>
      </c>
      <c r="P34" s="25" t="n">
        <f aca="false">INDEX($E$3:$J$3,MATCH(O34,E34:J34,0))</f>
        <v>2025</v>
      </c>
      <c r="Q34" s="15" t="n">
        <f aca="false">INDEX(E34:J34,MATCH(Explorer!$C$4,$E$3:$J$3,0))</f>
        <v>340</v>
      </c>
      <c r="R34" s="33" t="n">
        <f aca="false">Q34-ROW()/1000000</f>
        <v>339.999966</v>
      </c>
      <c r="S34" s="25" t="n">
        <f aca="false">RANK(R34,$R$4:$R$73)</f>
        <v>31</v>
      </c>
    </row>
    <row r="35" customFormat="false" ht="15" hidden="false" customHeight="false" outlineLevel="0" collapsed="false">
      <c r="A35" s="9" t="s">
        <v>186</v>
      </c>
      <c r="B35" s="9" t="str">
        <f aca="false">INDEX(Lookups!$B$5:$B$75,MATCH($A35,Lookups!$A$5:$A$75,0))</f>
        <v>Luxembourg</v>
      </c>
      <c r="C35" s="9" t="str">
        <f aca="false">INDEX(Lookups!$C$5:$C$75,MATCH($A35,Lookups!$A$5:$A$75,0))</f>
        <v>Europe</v>
      </c>
      <c r="D35" s="9" t="str">
        <f aca="false">INDEX(Lookups!$D$5:$D$75,MATCH($A35,Lookups!$A$5:$A$75,0))</f>
        <v>Europe</v>
      </c>
      <c r="E35" s="15" t="n">
        <f aca="false">SUMIFS(Data!$V$2:$V$351,Data!$A$2:$A$351,E$3,Data!$C$2:$C$351,$A35)</f>
        <v>79</v>
      </c>
      <c r="F35" s="15" t="n">
        <f aca="false">SUMIFS(Data!$V$2:$V$351,Data!$A$2:$A$351,F$3,Data!$C$2:$C$351,$A35)</f>
        <v>108</v>
      </c>
      <c r="G35" s="15" t="n">
        <f aca="false">SUMIFS(Data!$V$2:$V$351,Data!$A$2:$A$351,G$3,Data!$C$2:$C$351,$A35)</f>
        <v>188</v>
      </c>
      <c r="H35" s="15" t="n">
        <f aca="false">SUMIFS(Data!$V$2:$V$351,Data!$A$2:$A$351,H$3,Data!$C$2:$C$351,$A35)</f>
        <v>278</v>
      </c>
      <c r="I35" s="15" t="n">
        <f aca="false">SUMIFS(Data!$V$2:$V$351,Data!$A$2:$A$351,I$3,Data!$C$2:$C$351,$A35)</f>
        <v>335</v>
      </c>
      <c r="J35" s="15" t="n">
        <f aca="false">SUMIFS(Data!$V$2:$V$351,Data!$A$2:$A$351,J$3,Data!$C$2:$C$351,$A35)</f>
        <v>275</v>
      </c>
      <c r="K35" s="15" t="n">
        <f aca="false">J35-E35</f>
        <v>196</v>
      </c>
      <c r="L35" s="15" t="n">
        <f aca="false">J35-I35</f>
        <v>-60</v>
      </c>
      <c r="M35" s="17" t="n">
        <f aca="false">IF(I35&gt;0,L35/I35,"")</f>
        <v>-0.17910447761194</v>
      </c>
      <c r="N35" s="22" t="n">
        <f aca="false">J35/J$74</f>
        <v>3.57944653165949E-005</v>
      </c>
      <c r="O35" s="15" t="n">
        <f aca="false">MAX(E35:J35)</f>
        <v>335</v>
      </c>
      <c r="P35" s="25" t="n">
        <f aca="false">INDEX($E$3:$J$3,MATCH(O35,E35:J35,0))</f>
        <v>2024</v>
      </c>
      <c r="Q35" s="15" t="n">
        <f aca="false">INDEX(E35:J35,MATCH(Explorer!$C$4,$E$3:$J$3,0))</f>
        <v>275</v>
      </c>
      <c r="R35" s="33" t="n">
        <f aca="false">Q35-ROW()/1000000</f>
        <v>274.999965</v>
      </c>
      <c r="S35" s="25" t="n">
        <f aca="false">RANK(R35,$R$4:$R$73)</f>
        <v>32</v>
      </c>
    </row>
    <row r="36" customFormat="false" ht="15" hidden="false" customHeight="false" outlineLevel="0" collapsed="false">
      <c r="A36" s="9" t="s">
        <v>187</v>
      </c>
      <c r="B36" s="9" t="str">
        <f aca="false">INDEX(Lookups!$B$5:$B$75,MATCH($A36,Lookups!$A$5:$A$75,0))</f>
        <v>Austria</v>
      </c>
      <c r="C36" s="9" t="str">
        <f aca="false">INDEX(Lookups!$C$5:$C$75,MATCH($A36,Lookups!$A$5:$A$75,0))</f>
        <v>Europe</v>
      </c>
      <c r="D36" s="9" t="str">
        <f aca="false">INDEX(Lookups!$D$5:$D$75,MATCH($A36,Lookups!$A$5:$A$75,0))</f>
        <v>Europe</v>
      </c>
      <c r="E36" s="15" t="n">
        <f aca="false">SUMIFS(Data!$V$2:$V$351,Data!$A$2:$A$351,E$3,Data!$C$2:$C$351,$A36)</f>
        <v>95</v>
      </c>
      <c r="F36" s="15" t="n">
        <f aca="false">SUMIFS(Data!$V$2:$V$351,Data!$A$2:$A$351,F$3,Data!$C$2:$C$351,$A36)</f>
        <v>115</v>
      </c>
      <c r="G36" s="15" t="n">
        <f aca="false">SUMIFS(Data!$V$2:$V$351,Data!$A$2:$A$351,G$3,Data!$C$2:$C$351,$A36)</f>
        <v>161</v>
      </c>
      <c r="H36" s="15" t="n">
        <f aca="false">SUMIFS(Data!$V$2:$V$351,Data!$A$2:$A$351,H$3,Data!$C$2:$C$351,$A36)</f>
        <v>213</v>
      </c>
      <c r="I36" s="15" t="n">
        <f aca="false">SUMIFS(Data!$V$2:$V$351,Data!$A$2:$A$351,I$3,Data!$C$2:$C$351,$A36)</f>
        <v>281</v>
      </c>
      <c r="J36" s="15" t="n">
        <f aca="false">SUMIFS(Data!$V$2:$V$351,Data!$A$2:$A$351,J$3,Data!$C$2:$C$351,$A36)</f>
        <v>271</v>
      </c>
      <c r="K36" s="15" t="n">
        <f aca="false">J36-E36</f>
        <v>176</v>
      </c>
      <c r="L36" s="15" t="n">
        <f aca="false">J36-I36</f>
        <v>-10</v>
      </c>
      <c r="M36" s="17" t="n">
        <f aca="false">IF(I36&gt;0,L36/I36,"")</f>
        <v>-0.0355871886120997</v>
      </c>
      <c r="N36" s="22" t="n">
        <f aca="false">J36/J$74</f>
        <v>3.52738185483535E-005</v>
      </c>
      <c r="O36" s="15" t="n">
        <f aca="false">MAX(E36:J36)</f>
        <v>281</v>
      </c>
      <c r="P36" s="25" t="n">
        <f aca="false">INDEX($E$3:$J$3,MATCH(O36,E36:J36,0))</f>
        <v>2024</v>
      </c>
      <c r="Q36" s="15" t="n">
        <f aca="false">INDEX(E36:J36,MATCH(Explorer!$C$4,$E$3:$J$3,0))</f>
        <v>271</v>
      </c>
      <c r="R36" s="33" t="n">
        <f aca="false">Q36-ROW()/1000000</f>
        <v>270.999964</v>
      </c>
      <c r="S36" s="25" t="n">
        <f aca="false">RANK(R36,$R$4:$R$73)</f>
        <v>33</v>
      </c>
    </row>
    <row r="37" customFormat="false" ht="15" hidden="false" customHeight="false" outlineLevel="0" collapsed="false">
      <c r="A37" s="9" t="s">
        <v>188</v>
      </c>
      <c r="B37" s="9" t="str">
        <f aca="false">INDEX(Lookups!$B$5:$B$75,MATCH($A37,Lookups!$A$5:$A$75,0))</f>
        <v>Switzerland</v>
      </c>
      <c r="C37" s="9" t="str">
        <f aca="false">INDEX(Lookups!$C$5:$C$75,MATCH($A37,Lookups!$A$5:$A$75,0))</f>
        <v>Europe</v>
      </c>
      <c r="D37" s="9" t="str">
        <f aca="false">INDEX(Lookups!$D$5:$D$75,MATCH($A37,Lookups!$A$5:$A$75,0))</f>
        <v>Europe</v>
      </c>
      <c r="E37" s="15" t="n">
        <f aca="false">SUMIFS(Data!$V$2:$V$351,Data!$A$2:$A$351,E$3,Data!$C$2:$C$351,$A37)</f>
        <v>62</v>
      </c>
      <c r="F37" s="15" t="n">
        <f aca="false">SUMIFS(Data!$V$2:$V$351,Data!$A$2:$A$351,F$3,Data!$C$2:$C$351,$A37)</f>
        <v>98</v>
      </c>
      <c r="G37" s="15" t="n">
        <f aca="false">SUMIFS(Data!$V$2:$V$351,Data!$A$2:$A$351,G$3,Data!$C$2:$C$351,$A37)</f>
        <v>138</v>
      </c>
      <c r="H37" s="15" t="n">
        <f aca="false">SUMIFS(Data!$V$2:$V$351,Data!$A$2:$A$351,H$3,Data!$C$2:$C$351,$A37)</f>
        <v>178</v>
      </c>
      <c r="I37" s="15" t="n">
        <f aca="false">SUMIFS(Data!$V$2:$V$351,Data!$A$2:$A$351,I$3,Data!$C$2:$C$351,$A37)</f>
        <v>235</v>
      </c>
      <c r="J37" s="15" t="n">
        <f aca="false">SUMIFS(Data!$V$2:$V$351,Data!$A$2:$A$351,J$3,Data!$C$2:$C$351,$A37)</f>
        <v>254</v>
      </c>
      <c r="K37" s="15" t="n">
        <f aca="false">J37-E37</f>
        <v>192</v>
      </c>
      <c r="L37" s="15" t="n">
        <f aca="false">J37-I37</f>
        <v>19</v>
      </c>
      <c r="M37" s="17" t="n">
        <f aca="false">IF(I37&gt;0,L37/I37,"")</f>
        <v>0.0808510638297872</v>
      </c>
      <c r="N37" s="22" t="n">
        <f aca="false">J37/J$74</f>
        <v>3.30610697833276E-005</v>
      </c>
      <c r="O37" s="15" t="n">
        <f aca="false">MAX(E37:J37)</f>
        <v>254</v>
      </c>
      <c r="P37" s="25" t="n">
        <f aca="false">INDEX($E$3:$J$3,MATCH(O37,E37:J37,0))</f>
        <v>2025</v>
      </c>
      <c r="Q37" s="15" t="n">
        <f aca="false">INDEX(E37:J37,MATCH(Explorer!$C$4,$E$3:$J$3,0))</f>
        <v>254</v>
      </c>
      <c r="R37" s="33" t="n">
        <f aca="false">Q37-ROW()/1000000</f>
        <v>253.999963</v>
      </c>
      <c r="S37" s="25" t="n">
        <f aca="false">RANK(R37,$R$4:$R$73)</f>
        <v>34</v>
      </c>
    </row>
    <row r="38" customFormat="false" ht="15" hidden="false" customHeight="false" outlineLevel="0" collapsed="false">
      <c r="A38" s="9" t="s">
        <v>189</v>
      </c>
      <c r="B38" s="9" t="str">
        <f aca="false">INDEX(Lookups!$B$5:$B$75,MATCH($A38,Lookups!$A$5:$A$75,0))</f>
        <v>Norway</v>
      </c>
      <c r="C38" s="9" t="str">
        <f aca="false">INDEX(Lookups!$C$5:$C$75,MATCH($A38,Lookups!$A$5:$A$75,0))</f>
        <v>Europe</v>
      </c>
      <c r="D38" s="9" t="str">
        <f aca="false">INDEX(Lookups!$D$5:$D$75,MATCH($A38,Lookups!$A$5:$A$75,0))</f>
        <v>Europe</v>
      </c>
      <c r="E38" s="15" t="n">
        <f aca="false">SUMIFS(Data!$V$2:$V$351,Data!$A$2:$A$351,E$3,Data!$C$2:$C$351,$A38)</f>
        <v>15</v>
      </c>
      <c r="F38" s="15" t="n">
        <f aca="false">SUMIFS(Data!$V$2:$V$351,Data!$A$2:$A$351,F$3,Data!$C$2:$C$351,$A38)</f>
        <v>41</v>
      </c>
      <c r="G38" s="15" t="n">
        <f aca="false">SUMIFS(Data!$V$2:$V$351,Data!$A$2:$A$351,G$3,Data!$C$2:$C$351,$A38)</f>
        <v>119</v>
      </c>
      <c r="H38" s="15" t="n">
        <f aca="false">SUMIFS(Data!$V$2:$V$351,Data!$A$2:$A$351,H$3,Data!$C$2:$C$351,$A38)</f>
        <v>224</v>
      </c>
      <c r="I38" s="15" t="n">
        <f aca="false">SUMIFS(Data!$V$2:$V$351,Data!$A$2:$A$351,I$3,Data!$C$2:$C$351,$A38)</f>
        <v>237</v>
      </c>
      <c r="J38" s="15" t="n">
        <f aca="false">SUMIFS(Data!$V$2:$V$351,Data!$A$2:$A$351,J$3,Data!$C$2:$C$351,$A38)</f>
        <v>243</v>
      </c>
      <c r="K38" s="15" t="n">
        <f aca="false">J38-E38</f>
        <v>228</v>
      </c>
      <c r="L38" s="15" t="n">
        <f aca="false">J38-I38</f>
        <v>6</v>
      </c>
      <c r="M38" s="17" t="n">
        <f aca="false">IF(I38&gt;0,L38/I38,"")</f>
        <v>0.0253164556962025</v>
      </c>
      <c r="N38" s="22" t="n">
        <f aca="false">J38/J$74</f>
        <v>3.16292911706638E-005</v>
      </c>
      <c r="O38" s="15" t="n">
        <f aca="false">MAX(E38:J38)</f>
        <v>243</v>
      </c>
      <c r="P38" s="25" t="n">
        <f aca="false">INDEX($E$3:$J$3,MATCH(O38,E38:J38,0))</f>
        <v>2025</v>
      </c>
      <c r="Q38" s="15" t="n">
        <f aca="false">INDEX(E38:J38,MATCH(Explorer!$C$4,$E$3:$J$3,0))</f>
        <v>243</v>
      </c>
      <c r="R38" s="33" t="n">
        <f aca="false">Q38-ROW()/1000000</f>
        <v>242.999962</v>
      </c>
      <c r="S38" s="25" t="n">
        <f aca="false">RANK(R38,$R$4:$R$73)</f>
        <v>35</v>
      </c>
    </row>
    <row r="39" customFormat="false" ht="15" hidden="false" customHeight="false" outlineLevel="0" collapsed="false">
      <c r="A39" s="9" t="s">
        <v>190</v>
      </c>
      <c r="B39" s="9" t="str">
        <f aca="false">INDEX(Lookups!$B$5:$B$75,MATCH($A39,Lookups!$A$5:$A$75,0))</f>
        <v>Ireland</v>
      </c>
      <c r="C39" s="9" t="str">
        <f aca="false">INDEX(Lookups!$C$5:$C$75,MATCH($A39,Lookups!$A$5:$A$75,0))</f>
        <v>Europe</v>
      </c>
      <c r="D39" s="9" t="str">
        <f aca="false">INDEX(Lookups!$D$5:$D$75,MATCH($A39,Lookups!$A$5:$A$75,0))</f>
        <v>Europe</v>
      </c>
      <c r="E39" s="15" t="n">
        <f aca="false">SUMIFS(Data!$V$2:$V$351,Data!$A$2:$A$351,E$3,Data!$C$2:$C$351,$A39)</f>
        <v>191</v>
      </c>
      <c r="F39" s="15" t="n">
        <f aca="false">SUMIFS(Data!$V$2:$V$351,Data!$A$2:$A$351,F$3,Data!$C$2:$C$351,$A39)</f>
        <v>201</v>
      </c>
      <c r="G39" s="15" t="n">
        <f aca="false">SUMIFS(Data!$V$2:$V$351,Data!$A$2:$A$351,G$3,Data!$C$2:$C$351,$A39)</f>
        <v>210</v>
      </c>
      <c r="H39" s="15" t="n">
        <f aca="false">SUMIFS(Data!$V$2:$V$351,Data!$A$2:$A$351,H$3,Data!$C$2:$C$351,$A39)</f>
        <v>215</v>
      </c>
      <c r="I39" s="15" t="n">
        <f aca="false">SUMIFS(Data!$V$2:$V$351,Data!$A$2:$A$351,I$3,Data!$C$2:$C$351,$A39)</f>
        <v>195</v>
      </c>
      <c r="J39" s="15" t="n">
        <f aca="false">SUMIFS(Data!$V$2:$V$351,Data!$A$2:$A$351,J$3,Data!$C$2:$C$351,$A39)</f>
        <v>178</v>
      </c>
      <c r="K39" s="15" t="n">
        <f aca="false">J39-E39</f>
        <v>-13</v>
      </c>
      <c r="L39" s="15" t="n">
        <f aca="false">J39-I39</f>
        <v>-17</v>
      </c>
      <c r="M39" s="17" t="n">
        <f aca="false">IF(I39&gt;0,L39/I39,"")</f>
        <v>-0.0871794871794872</v>
      </c>
      <c r="N39" s="22" t="n">
        <f aca="false">J39/J$74</f>
        <v>2.31687811867414E-005</v>
      </c>
      <c r="O39" s="15" t="n">
        <f aca="false">MAX(E39:J39)</f>
        <v>215</v>
      </c>
      <c r="P39" s="25" t="n">
        <f aca="false">INDEX($E$3:$J$3,MATCH(O39,E39:J39,0))</f>
        <v>2023</v>
      </c>
      <c r="Q39" s="15" t="n">
        <f aca="false">INDEX(E39:J39,MATCH(Explorer!$C$4,$E$3:$J$3,0))</f>
        <v>178</v>
      </c>
      <c r="R39" s="33" t="n">
        <f aca="false">Q39-ROW()/1000000</f>
        <v>177.999961</v>
      </c>
      <c r="S39" s="25" t="n">
        <f aca="false">RANK(R39,$R$4:$R$73)</f>
        <v>36</v>
      </c>
    </row>
    <row r="40" customFormat="false" ht="15" hidden="false" customHeight="false" outlineLevel="0" collapsed="false">
      <c r="A40" s="9" t="s">
        <v>191</v>
      </c>
      <c r="B40" s="9" t="str">
        <f aca="false">INDEX(Lookups!$B$5:$B$75,MATCH($A40,Lookups!$A$5:$A$75,0))</f>
        <v>Sint Maarten (Dutch part)</v>
      </c>
      <c r="C40" s="9" t="str">
        <f aca="false">INDEX(Lookups!$C$5:$C$75,MATCH($A40,Lookups!$A$5:$A$75,0))</f>
        <v>Latin America &amp; Caribbean</v>
      </c>
      <c r="D40" s="9" t="str">
        <f aca="false">INDEX(Lookups!$D$5:$D$75,MATCH($A40,Lookups!$A$5:$A$75,0))</f>
        <v>Caribbean &amp; Guianas</v>
      </c>
      <c r="E40" s="15" t="n">
        <f aca="false">SUMIFS(Data!$V$2:$V$351,Data!$A$2:$A$351,E$3,Data!$C$2:$C$351,$A40)</f>
        <v>8</v>
      </c>
      <c r="F40" s="15" t="n">
        <f aca="false">SUMIFS(Data!$V$2:$V$351,Data!$A$2:$A$351,F$3,Data!$C$2:$C$351,$A40)</f>
        <v>41</v>
      </c>
      <c r="G40" s="15" t="n">
        <f aca="false">SUMIFS(Data!$V$2:$V$351,Data!$A$2:$A$351,G$3,Data!$C$2:$C$351,$A40)</f>
        <v>122</v>
      </c>
      <c r="H40" s="15" t="n">
        <f aca="false">SUMIFS(Data!$V$2:$V$351,Data!$A$2:$A$351,H$3,Data!$C$2:$C$351,$A40)</f>
        <v>125</v>
      </c>
      <c r="I40" s="15" t="n">
        <f aca="false">SUMIFS(Data!$V$2:$V$351,Data!$A$2:$A$351,I$3,Data!$C$2:$C$351,$A40)</f>
        <v>136</v>
      </c>
      <c r="J40" s="15" t="n">
        <f aca="false">SUMIFS(Data!$V$2:$V$351,Data!$A$2:$A$351,J$3,Data!$C$2:$C$351,$A40)</f>
        <v>138</v>
      </c>
      <c r="K40" s="15" t="n">
        <f aca="false">J40-E40</f>
        <v>130</v>
      </c>
      <c r="L40" s="15" t="n">
        <f aca="false">J40-I40</f>
        <v>2</v>
      </c>
      <c r="M40" s="17" t="n">
        <f aca="false">IF(I40&gt;0,L40/I40,"")</f>
        <v>0.0147058823529412</v>
      </c>
      <c r="N40" s="22" t="n">
        <f aca="false">J40/J$74</f>
        <v>1.79623135043276E-005</v>
      </c>
      <c r="O40" s="15" t="n">
        <f aca="false">MAX(E40:J40)</f>
        <v>138</v>
      </c>
      <c r="P40" s="25" t="n">
        <f aca="false">INDEX($E$3:$J$3,MATCH(O40,E40:J40,0))</f>
        <v>2025</v>
      </c>
      <c r="Q40" s="15" t="n">
        <f aca="false">INDEX(E40:J40,MATCH(Explorer!$C$4,$E$3:$J$3,0))</f>
        <v>138</v>
      </c>
      <c r="R40" s="33" t="n">
        <f aca="false">Q40-ROW()/1000000</f>
        <v>137.99996</v>
      </c>
      <c r="S40" s="25" t="n">
        <f aca="false">RANK(R40,$R$4:$R$73)</f>
        <v>37</v>
      </c>
    </row>
    <row r="41" customFormat="false" ht="15" hidden="false" customHeight="false" outlineLevel="0" collapsed="false">
      <c r="A41" s="9" t="s">
        <v>192</v>
      </c>
      <c r="B41" s="9" t="str">
        <f aca="false">INDEX(Lookups!$B$5:$B$75,MATCH($A41,Lookups!$A$5:$A$75,0))</f>
        <v>United Kingdom</v>
      </c>
      <c r="C41" s="9" t="str">
        <f aca="false">INDEX(Lookups!$C$5:$C$75,MATCH($A41,Lookups!$A$5:$A$75,0))</f>
        <v>Europe</v>
      </c>
      <c r="D41" s="9" t="str">
        <f aca="false">INDEX(Lookups!$D$5:$D$75,MATCH($A41,Lookups!$A$5:$A$75,0))</f>
        <v>Europe</v>
      </c>
      <c r="E41" s="15" t="n">
        <f aca="false">SUMIFS(Data!$V$2:$V$351,Data!$A$2:$A$351,E$3,Data!$C$2:$C$351,$A41)</f>
        <v>102</v>
      </c>
      <c r="F41" s="15" t="n">
        <f aca="false">SUMIFS(Data!$V$2:$V$351,Data!$A$2:$A$351,F$3,Data!$C$2:$C$351,$A41)</f>
        <v>98</v>
      </c>
      <c r="G41" s="15" t="n">
        <f aca="false">SUMIFS(Data!$V$2:$V$351,Data!$A$2:$A$351,G$3,Data!$C$2:$C$351,$A41)</f>
        <v>110</v>
      </c>
      <c r="H41" s="15" t="n">
        <f aca="false">SUMIFS(Data!$V$2:$V$351,Data!$A$2:$A$351,H$3,Data!$C$2:$C$351,$A41)</f>
        <v>115</v>
      </c>
      <c r="I41" s="15" t="n">
        <f aca="false">SUMIFS(Data!$V$2:$V$351,Data!$A$2:$A$351,I$3,Data!$C$2:$C$351,$A41)</f>
        <v>117</v>
      </c>
      <c r="J41" s="15" t="n">
        <f aca="false">SUMIFS(Data!$V$2:$V$351,Data!$A$2:$A$351,J$3,Data!$C$2:$C$351,$A41)</f>
        <v>114</v>
      </c>
      <c r="K41" s="15" t="n">
        <f aca="false">J41-E41</f>
        <v>12</v>
      </c>
      <c r="L41" s="15" t="n">
        <f aca="false">J41-I41</f>
        <v>-3</v>
      </c>
      <c r="M41" s="17" t="n">
        <f aca="false">IF(I41&gt;0,L41/I41,"")</f>
        <v>-0.0256410256410256</v>
      </c>
      <c r="N41" s="22" t="n">
        <f aca="false">J41/J$74</f>
        <v>1.48384328948793E-005</v>
      </c>
      <c r="O41" s="15" t="n">
        <f aca="false">MAX(E41:J41)</f>
        <v>117</v>
      </c>
      <c r="P41" s="25" t="n">
        <f aca="false">INDEX($E$3:$J$3,MATCH(O41,E41:J41,0))</f>
        <v>2024</v>
      </c>
      <c r="Q41" s="15" t="n">
        <f aca="false">INDEX(E41:J41,MATCH(Explorer!$C$4,$E$3:$J$3,0))</f>
        <v>114</v>
      </c>
      <c r="R41" s="33" t="n">
        <f aca="false">Q41-ROW()/1000000</f>
        <v>113.999959</v>
      </c>
      <c r="S41" s="25" t="n">
        <f aca="false">RANK(R41,$R$4:$R$73)</f>
        <v>38</v>
      </c>
    </row>
    <row r="42" customFormat="false" ht="15" hidden="false" customHeight="false" outlineLevel="0" collapsed="false">
      <c r="A42" s="9" t="s">
        <v>193</v>
      </c>
      <c r="B42" s="9" t="str">
        <f aca="false">INDEX(Lookups!$B$5:$B$75,MATCH($A42,Lookups!$A$5:$A$75,0))</f>
        <v>Sweden</v>
      </c>
      <c r="C42" s="9" t="str">
        <f aca="false">INDEX(Lookups!$C$5:$C$75,MATCH($A42,Lookups!$A$5:$A$75,0))</f>
        <v>Europe</v>
      </c>
      <c r="D42" s="9" t="str">
        <f aca="false">INDEX(Lookups!$D$5:$D$75,MATCH($A42,Lookups!$A$5:$A$75,0))</f>
        <v>Europe</v>
      </c>
      <c r="E42" s="15" t="n">
        <f aca="false">SUMIFS(Data!$V$2:$V$351,Data!$A$2:$A$351,E$3,Data!$C$2:$C$351,$A42)</f>
        <v>122</v>
      </c>
      <c r="F42" s="15" t="n">
        <f aca="false">SUMIFS(Data!$V$2:$V$351,Data!$A$2:$A$351,F$3,Data!$C$2:$C$351,$A42)</f>
        <v>82</v>
      </c>
      <c r="G42" s="15" t="n">
        <f aca="false">SUMIFS(Data!$V$2:$V$351,Data!$A$2:$A$351,G$3,Data!$C$2:$C$351,$A42)</f>
        <v>100</v>
      </c>
      <c r="H42" s="15" t="n">
        <f aca="false">SUMIFS(Data!$V$2:$V$351,Data!$A$2:$A$351,H$3,Data!$C$2:$C$351,$A42)</f>
        <v>109</v>
      </c>
      <c r="I42" s="15" t="n">
        <f aca="false">SUMIFS(Data!$V$2:$V$351,Data!$A$2:$A$351,I$3,Data!$C$2:$C$351,$A42)</f>
        <v>100</v>
      </c>
      <c r="J42" s="15" t="n">
        <f aca="false">SUMIFS(Data!$V$2:$V$351,Data!$A$2:$A$351,J$3,Data!$C$2:$C$351,$A42)</f>
        <v>79</v>
      </c>
      <c r="K42" s="15" t="n">
        <f aca="false">J42-E42</f>
        <v>-43</v>
      </c>
      <c r="L42" s="15" t="n">
        <f aca="false">J42-I42</f>
        <v>-21</v>
      </c>
      <c r="M42" s="17" t="n">
        <f aca="false">IF(I42&gt;0,L42/I42,"")</f>
        <v>-0.21</v>
      </c>
      <c r="N42" s="22" t="n">
        <f aca="false">J42/J$74</f>
        <v>1.02827736727673E-005</v>
      </c>
      <c r="O42" s="15" t="n">
        <f aca="false">MAX(E42:J42)</f>
        <v>122</v>
      </c>
      <c r="P42" s="25" t="n">
        <f aca="false">INDEX($E$3:$J$3,MATCH(O42,E42:J42,0))</f>
        <v>2020</v>
      </c>
      <c r="Q42" s="15" t="n">
        <f aca="false">INDEX(E42:J42,MATCH(Explorer!$C$4,$E$3:$J$3,0))</f>
        <v>79</v>
      </c>
      <c r="R42" s="33" t="n">
        <f aca="false">Q42-ROW()/1000000</f>
        <v>78.999958</v>
      </c>
      <c r="S42" s="25" t="n">
        <f aca="false">RANK(R42,$R$4:$R$73)</f>
        <v>39</v>
      </c>
    </row>
    <row r="43" customFormat="false" ht="15" hidden="false" customHeight="false" outlineLevel="0" collapsed="false">
      <c r="A43" s="9" t="s">
        <v>194</v>
      </c>
      <c r="B43" s="9" t="str">
        <f aca="false">INDEX(Lookups!$B$5:$B$75,MATCH($A43,Lookups!$A$5:$A$75,0))</f>
        <v>Malta</v>
      </c>
      <c r="C43" s="9" t="str">
        <f aca="false">INDEX(Lookups!$C$5:$C$75,MATCH($A43,Lookups!$A$5:$A$75,0))</f>
        <v>Europe</v>
      </c>
      <c r="D43" s="9" t="str">
        <f aca="false">INDEX(Lookups!$D$5:$D$75,MATCH($A43,Lookups!$A$5:$A$75,0))</f>
        <v>Europe</v>
      </c>
      <c r="E43" s="15" t="n">
        <f aca="false">SUMIFS(Data!$V$2:$V$351,Data!$A$2:$A$351,E$3,Data!$C$2:$C$351,$A43)</f>
        <v>74</v>
      </c>
      <c r="F43" s="15" t="n">
        <f aca="false">SUMIFS(Data!$V$2:$V$351,Data!$A$2:$A$351,F$3,Data!$C$2:$C$351,$A43)</f>
        <v>82</v>
      </c>
      <c r="G43" s="15" t="n">
        <f aca="false">SUMIFS(Data!$V$2:$V$351,Data!$A$2:$A$351,G$3,Data!$C$2:$C$351,$A43)</f>
        <v>67</v>
      </c>
      <c r="H43" s="15" t="n">
        <f aca="false">SUMIFS(Data!$V$2:$V$351,Data!$A$2:$A$351,H$3,Data!$C$2:$C$351,$A43)</f>
        <v>38</v>
      </c>
      <c r="I43" s="15" t="n">
        <f aca="false">SUMIFS(Data!$V$2:$V$351,Data!$A$2:$A$351,I$3,Data!$C$2:$C$351,$A43)</f>
        <v>72</v>
      </c>
      <c r="J43" s="15" t="n">
        <f aca="false">SUMIFS(Data!$V$2:$V$351,Data!$A$2:$A$351,J$3,Data!$C$2:$C$351,$A43)</f>
        <v>65</v>
      </c>
      <c r="K43" s="15" t="n">
        <f aca="false">J43-E43</f>
        <v>-9</v>
      </c>
      <c r="L43" s="15" t="n">
        <f aca="false">J43-I43</f>
        <v>-7</v>
      </c>
      <c r="M43" s="17" t="n">
        <f aca="false">IF(I43&gt;0,L43/I43,"")</f>
        <v>-0.0972222222222222</v>
      </c>
      <c r="N43" s="22" t="n">
        <f aca="false">J43/J$74</f>
        <v>8.46050998392243E-006</v>
      </c>
      <c r="O43" s="15" t="n">
        <f aca="false">MAX(E43:J43)</f>
        <v>82</v>
      </c>
      <c r="P43" s="25" t="n">
        <f aca="false">INDEX($E$3:$J$3,MATCH(O43,E43:J43,0))</f>
        <v>2021</v>
      </c>
      <c r="Q43" s="15" t="n">
        <f aca="false">INDEX(E43:J43,MATCH(Explorer!$C$4,$E$3:$J$3,0))</f>
        <v>65</v>
      </c>
      <c r="R43" s="33" t="n">
        <f aca="false">Q43-ROW()/1000000</f>
        <v>64.999957</v>
      </c>
      <c r="S43" s="25" t="n">
        <f aca="false">RANK(R43,$R$4:$R$73)</f>
        <v>40</v>
      </c>
    </row>
    <row r="44" customFormat="false" ht="15" hidden="false" customHeight="false" outlineLevel="0" collapsed="false">
      <c r="A44" s="9" t="s">
        <v>195</v>
      </c>
      <c r="B44" s="9" t="str">
        <f aca="false">INDEX(Lookups!$B$5:$B$75,MATCH($A44,Lookups!$A$5:$A$75,0))</f>
        <v>Cayman Islands</v>
      </c>
      <c r="C44" s="9" t="str">
        <f aca="false">INDEX(Lookups!$C$5:$C$75,MATCH($A44,Lookups!$A$5:$A$75,0))</f>
        <v>Latin America &amp; Caribbean</v>
      </c>
      <c r="D44" s="9" t="str">
        <f aca="false">INDEX(Lookups!$D$5:$D$75,MATCH($A44,Lookups!$A$5:$A$75,0))</f>
        <v>Caribbean &amp; Guianas</v>
      </c>
      <c r="E44" s="15" t="n">
        <f aca="false">SUMIFS(Data!$V$2:$V$351,Data!$A$2:$A$351,E$3,Data!$C$2:$C$351,$A44)</f>
        <v>39</v>
      </c>
      <c r="F44" s="15" t="n">
        <f aca="false">SUMIFS(Data!$V$2:$V$351,Data!$A$2:$A$351,F$3,Data!$C$2:$C$351,$A44)</f>
        <v>92</v>
      </c>
      <c r="G44" s="15" t="n">
        <f aca="false">SUMIFS(Data!$V$2:$V$351,Data!$A$2:$A$351,G$3,Data!$C$2:$C$351,$A44)</f>
        <v>144</v>
      </c>
      <c r="H44" s="15" t="n">
        <f aca="false">SUMIFS(Data!$V$2:$V$351,Data!$A$2:$A$351,H$3,Data!$C$2:$C$351,$A44)</f>
        <v>144</v>
      </c>
      <c r="I44" s="15" t="n">
        <f aca="false">SUMIFS(Data!$V$2:$V$351,Data!$A$2:$A$351,I$3,Data!$C$2:$C$351,$A44)</f>
        <v>58</v>
      </c>
      <c r="J44" s="15" t="n">
        <f aca="false">SUMIFS(Data!$V$2:$V$351,Data!$A$2:$A$351,J$3,Data!$C$2:$C$351,$A44)</f>
        <v>50</v>
      </c>
      <c r="K44" s="15" t="n">
        <f aca="false">J44-E44</f>
        <v>11</v>
      </c>
      <c r="L44" s="15" t="n">
        <f aca="false">J44-I44</f>
        <v>-8</v>
      </c>
      <c r="M44" s="17" t="n">
        <f aca="false">IF(I44&gt;0,L44/I44,"")</f>
        <v>-0.137931034482759</v>
      </c>
      <c r="N44" s="22" t="n">
        <f aca="false">J44/J$74</f>
        <v>6.50808460301725E-006</v>
      </c>
      <c r="O44" s="15" t="n">
        <f aca="false">MAX(E44:J44)</f>
        <v>144</v>
      </c>
      <c r="P44" s="25" t="n">
        <f aca="false">INDEX($E$3:$J$3,MATCH(O44,E44:J44,0))</f>
        <v>2022</v>
      </c>
      <c r="Q44" s="15" t="n">
        <f aca="false">INDEX(E44:J44,MATCH(Explorer!$C$4,$E$3:$J$3,0))</f>
        <v>50</v>
      </c>
      <c r="R44" s="33" t="n">
        <f aca="false">Q44-ROW()/1000000</f>
        <v>49.999956</v>
      </c>
      <c r="S44" s="25" t="n">
        <f aca="false">RANK(R44,$R$4:$R$73)</f>
        <v>41</v>
      </c>
    </row>
    <row r="45" customFormat="false" ht="15" hidden="false" customHeight="false" outlineLevel="0" collapsed="false">
      <c r="A45" s="9" t="s">
        <v>196</v>
      </c>
      <c r="B45" s="9" t="str">
        <f aca="false">INDEX(Lookups!$B$5:$B$75,MATCH($A45,Lookups!$A$5:$A$75,0))</f>
        <v>Poland</v>
      </c>
      <c r="C45" s="9" t="str">
        <f aca="false">INDEX(Lookups!$C$5:$C$75,MATCH($A45,Lookups!$A$5:$A$75,0))</f>
        <v>Europe</v>
      </c>
      <c r="D45" s="9" t="str">
        <f aca="false">INDEX(Lookups!$D$5:$D$75,MATCH($A45,Lookups!$A$5:$A$75,0))</f>
        <v>Europe</v>
      </c>
      <c r="E45" s="15" t="n">
        <f aca="false">SUMIFS(Data!$V$2:$V$351,Data!$A$2:$A$351,E$3,Data!$C$2:$C$351,$A45)</f>
        <v>5</v>
      </c>
      <c r="F45" s="15" t="n">
        <f aca="false">SUMIFS(Data!$V$2:$V$351,Data!$A$2:$A$351,F$3,Data!$C$2:$C$351,$A45)</f>
        <v>17</v>
      </c>
      <c r="G45" s="15" t="n">
        <f aca="false">SUMIFS(Data!$V$2:$V$351,Data!$A$2:$A$351,G$3,Data!$C$2:$C$351,$A45)</f>
        <v>22</v>
      </c>
      <c r="H45" s="15" t="n">
        <f aca="false">SUMIFS(Data!$V$2:$V$351,Data!$A$2:$A$351,H$3,Data!$C$2:$C$351,$A45)</f>
        <v>28</v>
      </c>
      <c r="I45" s="15" t="n">
        <f aca="false">SUMIFS(Data!$V$2:$V$351,Data!$A$2:$A$351,I$3,Data!$C$2:$C$351,$A45)</f>
        <v>31</v>
      </c>
      <c r="J45" s="15" t="n">
        <f aca="false">SUMIFS(Data!$V$2:$V$351,Data!$A$2:$A$351,J$3,Data!$C$2:$C$351,$A45)</f>
        <v>46</v>
      </c>
      <c r="K45" s="15" t="n">
        <f aca="false">J45-E45</f>
        <v>41</v>
      </c>
      <c r="L45" s="15" t="n">
        <f aca="false">J45-I45</f>
        <v>15</v>
      </c>
      <c r="M45" s="17" t="n">
        <f aca="false">IF(I45&gt;0,L45/I45,"")</f>
        <v>0.483870967741936</v>
      </c>
      <c r="N45" s="22" t="n">
        <f aca="false">J45/J$74</f>
        <v>5.98743783477587E-006</v>
      </c>
      <c r="O45" s="15" t="n">
        <f aca="false">MAX(E45:J45)</f>
        <v>46</v>
      </c>
      <c r="P45" s="25" t="n">
        <f aca="false">INDEX($E$3:$J$3,MATCH(O45,E45:J45,0))</f>
        <v>2025</v>
      </c>
      <c r="Q45" s="15" t="n">
        <f aca="false">INDEX(E45:J45,MATCH(Explorer!$C$4,$E$3:$J$3,0))</f>
        <v>46</v>
      </c>
      <c r="R45" s="33" t="n">
        <f aca="false">Q45-ROW()/1000000</f>
        <v>45.999955</v>
      </c>
      <c r="S45" s="25" t="n">
        <f aca="false">RANK(R45,$R$4:$R$73)</f>
        <v>42</v>
      </c>
    </row>
    <row r="46" customFormat="false" ht="15" hidden="false" customHeight="false" outlineLevel="0" collapsed="false">
      <c r="A46" s="9" t="s">
        <v>197</v>
      </c>
      <c r="B46" s="9" t="str">
        <f aca="false">INDEX(Lookups!$B$5:$B$75,MATCH($A46,Lookups!$A$5:$A$75,0))</f>
        <v>El Salvador</v>
      </c>
      <c r="C46" s="9" t="str">
        <f aca="false">INDEX(Lookups!$C$5:$C$75,MATCH($A46,Lookups!$A$5:$A$75,0))</f>
        <v>Latin America &amp; Caribbean</v>
      </c>
      <c r="D46" s="9" t="str">
        <f aca="false">INDEX(Lookups!$D$5:$D$75,MATCH($A46,Lookups!$A$5:$A$75,0))</f>
        <v>Central America &amp; Mexico</v>
      </c>
      <c r="E46" s="15" t="n">
        <f aca="false">SUMIFS(Data!$V$2:$V$351,Data!$A$2:$A$351,E$3,Data!$C$2:$C$351,$A46)</f>
        <v>16</v>
      </c>
      <c r="F46" s="15" t="n">
        <f aca="false">SUMIFS(Data!$V$2:$V$351,Data!$A$2:$A$351,F$3,Data!$C$2:$C$351,$A46)</f>
        <v>25</v>
      </c>
      <c r="G46" s="15" t="n">
        <f aca="false">SUMIFS(Data!$V$2:$V$351,Data!$A$2:$A$351,G$3,Data!$C$2:$C$351,$A46)</f>
        <v>18</v>
      </c>
      <c r="H46" s="15" t="n">
        <f aca="false">SUMIFS(Data!$V$2:$V$351,Data!$A$2:$A$351,H$3,Data!$C$2:$C$351,$A46)</f>
        <v>108</v>
      </c>
      <c r="I46" s="15" t="n">
        <f aca="false">SUMIFS(Data!$V$2:$V$351,Data!$A$2:$A$351,I$3,Data!$C$2:$C$351,$A46)</f>
        <v>43</v>
      </c>
      <c r="J46" s="15" t="n">
        <f aca="false">SUMIFS(Data!$V$2:$V$351,Data!$A$2:$A$351,J$3,Data!$C$2:$C$351,$A46)</f>
        <v>44</v>
      </c>
      <c r="K46" s="15" t="n">
        <f aca="false">J46-E46</f>
        <v>28</v>
      </c>
      <c r="L46" s="15" t="n">
        <f aca="false">J46-I46</f>
        <v>1</v>
      </c>
      <c r="M46" s="17" t="n">
        <f aca="false">IF(I46&gt;0,L46/I46,"")</f>
        <v>0.0232558139534884</v>
      </c>
      <c r="N46" s="22" t="n">
        <f aca="false">J46/J$74</f>
        <v>5.72711445065518E-006</v>
      </c>
      <c r="O46" s="15" t="n">
        <f aca="false">MAX(E46:J46)</f>
        <v>108</v>
      </c>
      <c r="P46" s="25" t="n">
        <f aca="false">INDEX($E$3:$J$3,MATCH(O46,E46:J46,0))</f>
        <v>2023</v>
      </c>
      <c r="Q46" s="15" t="n">
        <f aca="false">INDEX(E46:J46,MATCH(Explorer!$C$4,$E$3:$J$3,0))</f>
        <v>44</v>
      </c>
      <c r="R46" s="33" t="n">
        <f aca="false">Q46-ROW()/1000000</f>
        <v>43.999954</v>
      </c>
      <c r="S46" s="25" t="n">
        <f aca="false">RANK(R46,$R$4:$R$73)</f>
        <v>43</v>
      </c>
    </row>
    <row r="47" customFormat="false" ht="15" hidden="false" customHeight="false" outlineLevel="0" collapsed="false">
      <c r="A47" s="9" t="s">
        <v>198</v>
      </c>
      <c r="B47" s="9" t="str">
        <f aca="false">INDEX(Lookups!$B$5:$B$75,MATCH($A47,Lookups!$A$5:$A$75,0))</f>
        <v>Finland</v>
      </c>
      <c r="C47" s="9" t="str">
        <f aca="false">INDEX(Lookups!$C$5:$C$75,MATCH($A47,Lookups!$A$5:$A$75,0))</f>
        <v>Europe</v>
      </c>
      <c r="D47" s="9" t="str">
        <f aca="false">INDEX(Lookups!$D$5:$D$75,MATCH($A47,Lookups!$A$5:$A$75,0))</f>
        <v>Europe</v>
      </c>
      <c r="E47" s="15" t="n">
        <f aca="false">SUMIFS(Data!$V$2:$V$351,Data!$A$2:$A$351,E$3,Data!$C$2:$C$351,$A47)</f>
        <v>16</v>
      </c>
      <c r="F47" s="15" t="n">
        <f aca="false">SUMIFS(Data!$V$2:$V$351,Data!$A$2:$A$351,F$3,Data!$C$2:$C$351,$A47)</f>
        <v>13</v>
      </c>
      <c r="G47" s="15" t="n">
        <f aca="false">SUMIFS(Data!$V$2:$V$351,Data!$A$2:$A$351,G$3,Data!$C$2:$C$351,$A47)</f>
        <v>22</v>
      </c>
      <c r="H47" s="15" t="n">
        <f aca="false">SUMIFS(Data!$V$2:$V$351,Data!$A$2:$A$351,H$3,Data!$C$2:$C$351,$A47)</f>
        <v>58</v>
      </c>
      <c r="I47" s="15" t="n">
        <f aca="false">SUMIFS(Data!$V$2:$V$351,Data!$A$2:$A$351,I$3,Data!$C$2:$C$351,$A47)</f>
        <v>61</v>
      </c>
      <c r="J47" s="15" t="n">
        <f aca="false">SUMIFS(Data!$V$2:$V$351,Data!$A$2:$A$351,J$3,Data!$C$2:$C$351,$A47)</f>
        <v>43</v>
      </c>
      <c r="K47" s="15" t="n">
        <f aca="false">J47-E47</f>
        <v>27</v>
      </c>
      <c r="L47" s="15" t="n">
        <f aca="false">J47-I47</f>
        <v>-18</v>
      </c>
      <c r="M47" s="17" t="n">
        <f aca="false">IF(I47&gt;0,L47/I47,"")</f>
        <v>-0.295081967213115</v>
      </c>
      <c r="N47" s="22" t="n">
        <f aca="false">J47/J$74</f>
        <v>5.59695275859484E-006</v>
      </c>
      <c r="O47" s="15" t="n">
        <f aca="false">MAX(E47:J47)</f>
        <v>61</v>
      </c>
      <c r="P47" s="25" t="n">
        <f aca="false">INDEX($E$3:$J$3,MATCH(O47,E47:J47,0))</f>
        <v>2024</v>
      </c>
      <c r="Q47" s="15" t="n">
        <f aca="false">INDEX(E47:J47,MATCH(Explorer!$C$4,$E$3:$J$3,0))</f>
        <v>43</v>
      </c>
      <c r="R47" s="33" t="n">
        <f aca="false">Q47-ROW()/1000000</f>
        <v>42.999953</v>
      </c>
      <c r="S47" s="25" t="n">
        <f aca="false">RANK(R47,$R$4:$R$73)</f>
        <v>44</v>
      </c>
    </row>
    <row r="48" customFormat="false" ht="15" hidden="false" customHeight="false" outlineLevel="0" collapsed="false">
      <c r="A48" s="9" t="s">
        <v>199</v>
      </c>
      <c r="B48" s="9" t="str">
        <f aca="false">INDEX(Lookups!$B$5:$B$75,MATCH($A48,Lookups!$A$5:$A$75,0))</f>
        <v>Greece</v>
      </c>
      <c r="C48" s="9" t="str">
        <f aca="false">INDEX(Lookups!$C$5:$C$75,MATCH($A48,Lookups!$A$5:$A$75,0))</f>
        <v>Europe</v>
      </c>
      <c r="D48" s="9" t="str">
        <f aca="false">INDEX(Lookups!$D$5:$D$75,MATCH($A48,Lookups!$A$5:$A$75,0))</f>
        <v>Europe</v>
      </c>
      <c r="E48" s="15" t="n">
        <f aca="false">SUMIFS(Data!$V$2:$V$351,Data!$A$2:$A$351,E$3,Data!$C$2:$C$351,$A48)</f>
        <v>33</v>
      </c>
      <c r="F48" s="15" t="n">
        <f aca="false">SUMIFS(Data!$V$2:$V$351,Data!$A$2:$A$351,F$3,Data!$C$2:$C$351,$A48)</f>
        <v>19</v>
      </c>
      <c r="G48" s="15" t="n">
        <f aca="false">SUMIFS(Data!$V$2:$V$351,Data!$A$2:$A$351,G$3,Data!$C$2:$C$351,$A48)</f>
        <v>15</v>
      </c>
      <c r="H48" s="15" t="n">
        <f aca="false">SUMIFS(Data!$V$2:$V$351,Data!$A$2:$A$351,H$3,Data!$C$2:$C$351,$A48)</f>
        <v>26</v>
      </c>
      <c r="I48" s="15" t="n">
        <f aca="false">SUMIFS(Data!$V$2:$V$351,Data!$A$2:$A$351,I$3,Data!$C$2:$C$351,$A48)</f>
        <v>29</v>
      </c>
      <c r="J48" s="15" t="n">
        <f aca="false">SUMIFS(Data!$V$2:$V$351,Data!$A$2:$A$351,J$3,Data!$C$2:$C$351,$A48)</f>
        <v>36</v>
      </c>
      <c r="K48" s="15" t="n">
        <f aca="false">J48-E48</f>
        <v>3</v>
      </c>
      <c r="L48" s="15" t="n">
        <f aca="false">J48-I48</f>
        <v>7</v>
      </c>
      <c r="M48" s="17" t="n">
        <f aca="false">IF(I48&gt;0,L48/I48,"")</f>
        <v>0.241379310344828</v>
      </c>
      <c r="N48" s="22" t="n">
        <f aca="false">J48/J$74</f>
        <v>4.68582091417242E-006</v>
      </c>
      <c r="O48" s="15" t="n">
        <f aca="false">MAX(E48:J48)</f>
        <v>36</v>
      </c>
      <c r="P48" s="25" t="n">
        <f aca="false">INDEX($E$3:$J$3,MATCH(O48,E48:J48,0))</f>
        <v>2025</v>
      </c>
      <c r="Q48" s="15" t="n">
        <f aca="false">INDEX(E48:J48,MATCH(Explorer!$C$4,$E$3:$J$3,0))</f>
        <v>36</v>
      </c>
      <c r="R48" s="33" t="n">
        <f aca="false">Q48-ROW()/1000000</f>
        <v>35.999952</v>
      </c>
      <c r="S48" s="25" t="n">
        <f aca="false">RANK(R48,$R$4:$R$73)</f>
        <v>45</v>
      </c>
    </row>
    <row r="49" customFormat="false" ht="15" hidden="false" customHeight="false" outlineLevel="0" collapsed="false">
      <c r="A49" s="9" t="s">
        <v>200</v>
      </c>
      <c r="B49" s="9" t="str">
        <f aca="false">INDEX(Lookups!$B$5:$B$75,MATCH($A49,Lookups!$A$5:$A$75,0))</f>
        <v>Czechia</v>
      </c>
      <c r="C49" s="9" t="str">
        <f aca="false">INDEX(Lookups!$C$5:$C$75,MATCH($A49,Lookups!$A$5:$A$75,0))</f>
        <v>Europe</v>
      </c>
      <c r="D49" s="9" t="str">
        <f aca="false">INDEX(Lookups!$D$5:$D$75,MATCH($A49,Lookups!$A$5:$A$75,0))</f>
        <v>Europe</v>
      </c>
      <c r="E49" s="15" t="n">
        <f aca="false">SUMIFS(Data!$V$2:$V$351,Data!$A$2:$A$351,E$3,Data!$C$2:$C$351,$A49)</f>
        <v>18</v>
      </c>
      <c r="F49" s="15" t="n">
        <f aca="false">SUMIFS(Data!$V$2:$V$351,Data!$A$2:$A$351,F$3,Data!$C$2:$C$351,$A49)</f>
        <v>15</v>
      </c>
      <c r="G49" s="15" t="n">
        <f aca="false">SUMIFS(Data!$V$2:$V$351,Data!$A$2:$A$351,G$3,Data!$C$2:$C$351,$A49)</f>
        <v>11</v>
      </c>
      <c r="H49" s="15" t="n">
        <f aca="false">SUMIFS(Data!$V$2:$V$351,Data!$A$2:$A$351,H$3,Data!$C$2:$C$351,$A49)</f>
        <v>29</v>
      </c>
      <c r="I49" s="15" t="n">
        <f aca="false">SUMIFS(Data!$V$2:$V$351,Data!$A$2:$A$351,I$3,Data!$C$2:$C$351,$A49)</f>
        <v>28</v>
      </c>
      <c r="J49" s="15" t="n">
        <f aca="false">SUMIFS(Data!$V$2:$V$351,Data!$A$2:$A$351,J$3,Data!$C$2:$C$351,$A49)</f>
        <v>30</v>
      </c>
      <c r="K49" s="15" t="n">
        <f aca="false">J49-E49</f>
        <v>12</v>
      </c>
      <c r="L49" s="15" t="n">
        <f aca="false">J49-I49</f>
        <v>2</v>
      </c>
      <c r="M49" s="17" t="n">
        <f aca="false">IF(I49&gt;0,L49/I49,"")</f>
        <v>0.0714285714285714</v>
      </c>
      <c r="N49" s="22" t="n">
        <f aca="false">J49/J$74</f>
        <v>3.90485076181035E-006</v>
      </c>
      <c r="O49" s="15" t="n">
        <f aca="false">MAX(E49:J49)</f>
        <v>30</v>
      </c>
      <c r="P49" s="25" t="n">
        <f aca="false">INDEX($E$3:$J$3,MATCH(O49,E49:J49,0))</f>
        <v>2025</v>
      </c>
      <c r="Q49" s="15" t="n">
        <f aca="false">INDEX(E49:J49,MATCH(Explorer!$C$4,$E$3:$J$3,0))</f>
        <v>30</v>
      </c>
      <c r="R49" s="33" t="n">
        <f aca="false">Q49-ROW()/1000000</f>
        <v>29.999951</v>
      </c>
      <c r="S49" s="25" t="n">
        <f aca="false">RANK(R49,$R$4:$R$73)</f>
        <v>46</v>
      </c>
    </row>
    <row r="50" customFormat="false" ht="15" hidden="false" customHeight="false" outlineLevel="0" collapsed="false">
      <c r="A50" s="9" t="s">
        <v>201</v>
      </c>
      <c r="B50" s="9" t="str">
        <f aca="false">INDEX(Lookups!$B$5:$B$75,MATCH($A50,Lookups!$A$5:$A$75,0))</f>
        <v>Belize</v>
      </c>
      <c r="C50" s="9" t="str">
        <f aca="false">INDEX(Lookups!$C$5:$C$75,MATCH($A50,Lookups!$A$5:$A$75,0))</f>
        <v>Latin America &amp; Caribbean</v>
      </c>
      <c r="D50" s="9" t="str">
        <f aca="false">INDEX(Lookups!$D$5:$D$75,MATCH($A50,Lookups!$A$5:$A$75,0))</f>
        <v>Central America &amp; Mexico</v>
      </c>
      <c r="E50" s="15" t="n">
        <f aca="false">SUMIFS(Data!$V$2:$V$351,Data!$A$2:$A$351,E$3,Data!$C$2:$C$351,$A50)</f>
        <v>0</v>
      </c>
      <c r="F50" s="15" t="n">
        <f aca="false">SUMIFS(Data!$V$2:$V$351,Data!$A$2:$A$351,F$3,Data!$C$2:$C$351,$A50)</f>
        <v>0</v>
      </c>
      <c r="G50" s="15" t="n">
        <f aca="false">SUMIFS(Data!$V$2:$V$351,Data!$A$2:$A$351,G$3,Data!$C$2:$C$351,$A50)</f>
        <v>0</v>
      </c>
      <c r="H50" s="15" t="n">
        <f aca="false">SUMIFS(Data!$V$2:$V$351,Data!$A$2:$A$351,H$3,Data!$C$2:$C$351,$A50)</f>
        <v>0</v>
      </c>
      <c r="I50" s="15" t="n">
        <f aca="false">SUMIFS(Data!$V$2:$V$351,Data!$A$2:$A$351,I$3,Data!$C$2:$C$351,$A50)</f>
        <v>0</v>
      </c>
      <c r="J50" s="15" t="n">
        <f aca="false">SUMIFS(Data!$V$2:$V$351,Data!$A$2:$A$351,J$3,Data!$C$2:$C$351,$A50)</f>
        <v>13</v>
      </c>
      <c r="K50" s="15" t="n">
        <f aca="false">J50-E50</f>
        <v>13</v>
      </c>
      <c r="L50" s="15" t="n">
        <f aca="false">J50-I50</f>
        <v>13</v>
      </c>
      <c r="M50" s="17" t="str">
        <f aca="false">IF(I50&gt;0,L50/I50,"")</f>
        <v/>
      </c>
      <c r="N50" s="22" t="n">
        <f aca="false">J50/J$74</f>
        <v>1.69210199678449E-006</v>
      </c>
      <c r="O50" s="15" t="n">
        <f aca="false">MAX(E50:J50)</f>
        <v>13</v>
      </c>
      <c r="P50" s="25" t="n">
        <f aca="false">INDEX($E$3:$J$3,MATCH(O50,E50:J50,0))</f>
        <v>2025</v>
      </c>
      <c r="Q50" s="15" t="n">
        <f aca="false">INDEX(E50:J50,MATCH(Explorer!$C$4,$E$3:$J$3,0))</f>
        <v>13</v>
      </c>
      <c r="R50" s="33" t="n">
        <f aca="false">Q50-ROW()/1000000</f>
        <v>12.99995</v>
      </c>
      <c r="S50" s="25" t="n">
        <f aca="false">RANK(R50,$R$4:$R$73)</f>
        <v>47</v>
      </c>
    </row>
    <row r="51" customFormat="false" ht="15" hidden="false" customHeight="false" outlineLevel="0" collapsed="false">
      <c r="A51" s="9" t="s">
        <v>202</v>
      </c>
      <c r="B51" s="9" t="str">
        <f aca="false">INDEX(Lookups!$B$5:$B$75,MATCH($A51,Lookups!$A$5:$A$75,0))</f>
        <v>India</v>
      </c>
      <c r="C51" s="9" t="str">
        <f aca="false">INDEX(Lookups!$C$5:$C$75,MATCH($A51,Lookups!$A$5:$A$75,0))</f>
        <v>Other regions</v>
      </c>
      <c r="D51" s="9" t="str">
        <f aca="false">INDEX(Lookups!$D$5:$D$75,MATCH($A51,Lookups!$A$5:$A$75,0))</f>
        <v>Rest of world</v>
      </c>
      <c r="E51" s="15" t="n">
        <f aca="false">SUMIFS(Data!$V$2:$V$351,Data!$A$2:$A$351,E$3,Data!$C$2:$C$351,$A51)</f>
        <v>11</v>
      </c>
      <c r="F51" s="15" t="n">
        <f aca="false">SUMIFS(Data!$V$2:$V$351,Data!$A$2:$A$351,F$3,Data!$C$2:$C$351,$A51)</f>
        <v>11</v>
      </c>
      <c r="G51" s="15" t="n">
        <f aca="false">SUMIFS(Data!$V$2:$V$351,Data!$A$2:$A$351,G$3,Data!$C$2:$C$351,$A51)</f>
        <v>11</v>
      </c>
      <c r="H51" s="15" t="n">
        <f aca="false">SUMIFS(Data!$V$2:$V$351,Data!$A$2:$A$351,H$3,Data!$C$2:$C$351,$A51)</f>
        <v>10</v>
      </c>
      <c r="I51" s="15" t="n">
        <f aca="false">SUMIFS(Data!$V$2:$V$351,Data!$A$2:$A$351,I$3,Data!$C$2:$C$351,$A51)</f>
        <v>10</v>
      </c>
      <c r="J51" s="15" t="n">
        <f aca="false">SUMIFS(Data!$V$2:$V$351,Data!$A$2:$A$351,J$3,Data!$C$2:$C$351,$A51)</f>
        <v>10</v>
      </c>
      <c r="K51" s="15" t="n">
        <f aca="false">J51-E51</f>
        <v>-1</v>
      </c>
      <c r="L51" s="15" t="n">
        <f aca="false">J51-I51</f>
        <v>0</v>
      </c>
      <c r="M51" s="17" t="n">
        <f aca="false">IF(I51&gt;0,L51/I51,"")</f>
        <v>0</v>
      </c>
      <c r="N51" s="22" t="n">
        <f aca="false">J51/J$74</f>
        <v>1.30161692060345E-006</v>
      </c>
      <c r="O51" s="15" t="n">
        <f aca="false">MAX(E51:J51)</f>
        <v>11</v>
      </c>
      <c r="P51" s="25" t="n">
        <f aca="false">INDEX($E$3:$J$3,MATCH(O51,E51:J51,0))</f>
        <v>2020</v>
      </c>
      <c r="Q51" s="15" t="n">
        <f aca="false">INDEX(E51:J51,MATCH(Explorer!$C$4,$E$3:$J$3,0))</f>
        <v>10</v>
      </c>
      <c r="R51" s="33" t="n">
        <f aca="false">Q51-ROW()/1000000</f>
        <v>9.999949</v>
      </c>
      <c r="S51" s="25" t="n">
        <f aca="false">RANK(R51,$R$4:$R$73)</f>
        <v>48</v>
      </c>
    </row>
    <row r="52" customFormat="false" ht="15" hidden="false" customHeight="false" outlineLevel="0" collapsed="false">
      <c r="A52" s="9" t="s">
        <v>203</v>
      </c>
      <c r="B52" s="9" t="str">
        <f aca="false">INDEX(Lookups!$B$5:$B$75,MATCH($A52,Lookups!$A$5:$A$75,0))</f>
        <v>Denmark</v>
      </c>
      <c r="C52" s="9" t="str">
        <f aca="false">INDEX(Lookups!$C$5:$C$75,MATCH($A52,Lookups!$A$5:$A$75,0))</f>
        <v>Europe</v>
      </c>
      <c r="D52" s="9" t="str">
        <f aca="false">INDEX(Lookups!$D$5:$D$75,MATCH($A52,Lookups!$A$5:$A$75,0))</f>
        <v>Europe</v>
      </c>
      <c r="E52" s="15" t="n">
        <f aca="false">SUMIFS(Data!$V$2:$V$351,Data!$A$2:$A$351,E$3,Data!$C$2:$C$351,$A52)</f>
        <v>16</v>
      </c>
      <c r="F52" s="15" t="n">
        <f aca="false">SUMIFS(Data!$V$2:$V$351,Data!$A$2:$A$351,F$3,Data!$C$2:$C$351,$A52)</f>
        <v>5</v>
      </c>
      <c r="G52" s="15" t="n">
        <f aca="false">SUMIFS(Data!$V$2:$V$351,Data!$A$2:$A$351,G$3,Data!$C$2:$C$351,$A52)</f>
        <v>12</v>
      </c>
      <c r="H52" s="15" t="n">
        <f aca="false">SUMIFS(Data!$V$2:$V$351,Data!$A$2:$A$351,H$3,Data!$C$2:$C$351,$A52)</f>
        <v>5</v>
      </c>
      <c r="I52" s="15" t="n">
        <f aca="false">SUMIFS(Data!$V$2:$V$351,Data!$A$2:$A$351,I$3,Data!$C$2:$C$351,$A52)</f>
        <v>10</v>
      </c>
      <c r="J52" s="15" t="n">
        <f aca="false">SUMIFS(Data!$V$2:$V$351,Data!$A$2:$A$351,J$3,Data!$C$2:$C$351,$A52)</f>
        <v>10</v>
      </c>
      <c r="K52" s="15" t="n">
        <f aca="false">J52-E52</f>
        <v>-6</v>
      </c>
      <c r="L52" s="15" t="n">
        <f aca="false">J52-I52</f>
        <v>0</v>
      </c>
      <c r="M52" s="17" t="n">
        <f aca="false">IF(I52&gt;0,L52/I52,"")</f>
        <v>0</v>
      </c>
      <c r="N52" s="22" t="n">
        <f aca="false">J52/J$74</f>
        <v>1.30161692060345E-006</v>
      </c>
      <c r="O52" s="15" t="n">
        <f aca="false">MAX(E52:J52)</f>
        <v>16</v>
      </c>
      <c r="P52" s="25" t="n">
        <f aca="false">INDEX($E$3:$J$3,MATCH(O52,E52:J52,0))</f>
        <v>2020</v>
      </c>
      <c r="Q52" s="15" t="n">
        <f aca="false">INDEX(E52:J52,MATCH(Explorer!$C$4,$E$3:$J$3,0))</f>
        <v>10</v>
      </c>
      <c r="R52" s="33" t="n">
        <f aca="false">Q52-ROW()/1000000</f>
        <v>9.999948</v>
      </c>
      <c r="S52" s="25" t="n">
        <f aca="false">RANK(R52,$R$4:$R$73)</f>
        <v>49</v>
      </c>
    </row>
    <row r="53" customFormat="false" ht="15" hidden="false" customHeight="false" outlineLevel="0" collapsed="false">
      <c r="A53" s="9" t="s">
        <v>204</v>
      </c>
      <c r="B53" s="9" t="str">
        <f aca="false">INDEX(Lookups!$B$5:$B$75,MATCH($A53,Lookups!$A$5:$A$75,0))</f>
        <v>Albania</v>
      </c>
      <c r="C53" s="9" t="str">
        <f aca="false">INDEX(Lookups!$C$5:$C$75,MATCH($A53,Lookups!$A$5:$A$75,0))</f>
        <v>Europe</v>
      </c>
      <c r="D53" s="9" t="str">
        <f aca="false">INDEX(Lookups!$D$5:$D$75,MATCH($A53,Lookups!$A$5:$A$75,0))</f>
        <v>Europe</v>
      </c>
      <c r="E53" s="15" t="n">
        <f aca="false">SUMIFS(Data!$V$2:$V$351,Data!$A$2:$A$351,E$3,Data!$C$2:$C$351,$A53)</f>
        <v>5</v>
      </c>
      <c r="F53" s="15" t="n">
        <f aca="false">SUMIFS(Data!$V$2:$V$351,Data!$A$2:$A$351,F$3,Data!$C$2:$C$351,$A53)</f>
        <v>5</v>
      </c>
      <c r="G53" s="15" t="n">
        <f aca="false">SUMIFS(Data!$V$2:$V$351,Data!$A$2:$A$351,G$3,Data!$C$2:$C$351,$A53)</f>
        <v>5</v>
      </c>
      <c r="H53" s="15" t="n">
        <f aca="false">SUMIFS(Data!$V$2:$V$351,Data!$A$2:$A$351,H$3,Data!$C$2:$C$351,$A53)</f>
        <v>5</v>
      </c>
      <c r="I53" s="15" t="n">
        <f aca="false">SUMIFS(Data!$V$2:$V$351,Data!$A$2:$A$351,I$3,Data!$C$2:$C$351,$A53)</f>
        <v>5</v>
      </c>
      <c r="J53" s="15" t="n">
        <f aca="false">SUMIFS(Data!$V$2:$V$351,Data!$A$2:$A$351,J$3,Data!$C$2:$C$351,$A53)</f>
        <v>5</v>
      </c>
      <c r="K53" s="15" t="n">
        <f aca="false">J53-E53</f>
        <v>0</v>
      </c>
      <c r="L53" s="15" t="n">
        <f aca="false">J53-I53</f>
        <v>0</v>
      </c>
      <c r="M53" s="17" t="n">
        <f aca="false">IF(I53&gt;0,L53/I53,"")</f>
        <v>0</v>
      </c>
      <c r="N53" s="22" t="n">
        <f aca="false">J53/J$74</f>
        <v>6.50808460301725E-007</v>
      </c>
      <c r="O53" s="15" t="n">
        <f aca="false">MAX(E53:J53)</f>
        <v>5</v>
      </c>
      <c r="P53" s="25" t="n">
        <f aca="false">INDEX($E$3:$J$3,MATCH(O53,E53:J53,0))</f>
        <v>2020</v>
      </c>
      <c r="Q53" s="15" t="n">
        <f aca="false">INDEX(E53:J53,MATCH(Explorer!$C$4,$E$3:$J$3,0))</f>
        <v>5</v>
      </c>
      <c r="R53" s="33" t="n">
        <f aca="false">Q53-ROW()/1000000</f>
        <v>4.999947</v>
      </c>
      <c r="S53" s="25" t="n">
        <f aca="false">RANK(R53,$R$4:$R$73)</f>
        <v>50</v>
      </c>
    </row>
    <row r="54" customFormat="false" ht="15" hidden="false" customHeight="false" outlineLevel="0" collapsed="false">
      <c r="A54" s="9" t="s">
        <v>205</v>
      </c>
      <c r="B54" s="9" t="str">
        <f aca="false">INDEX(Lookups!$B$5:$B$75,MATCH($A54,Lookups!$A$5:$A$75,0))</f>
        <v>New Zealand</v>
      </c>
      <c r="C54" s="9" t="str">
        <f aca="false">INDEX(Lookups!$C$5:$C$75,MATCH($A54,Lookups!$A$5:$A$75,0))</f>
        <v>Other regions</v>
      </c>
      <c r="D54" s="9" t="str">
        <f aca="false">INDEX(Lookups!$D$5:$D$75,MATCH($A54,Lookups!$A$5:$A$75,0))</f>
        <v>Rest of world</v>
      </c>
      <c r="E54" s="15" t="n">
        <f aca="false">SUMIFS(Data!$V$2:$V$351,Data!$A$2:$A$351,E$3,Data!$C$2:$C$351,$A54)</f>
        <v>0</v>
      </c>
      <c r="F54" s="15" t="n">
        <f aca="false">SUMIFS(Data!$V$2:$V$351,Data!$A$2:$A$351,F$3,Data!$C$2:$C$351,$A54)</f>
        <v>5</v>
      </c>
      <c r="G54" s="15" t="n">
        <f aca="false">SUMIFS(Data!$V$2:$V$351,Data!$A$2:$A$351,G$3,Data!$C$2:$C$351,$A54)</f>
        <v>5</v>
      </c>
      <c r="H54" s="15" t="n">
        <f aca="false">SUMIFS(Data!$V$2:$V$351,Data!$A$2:$A$351,H$3,Data!$C$2:$C$351,$A54)</f>
        <v>5</v>
      </c>
      <c r="I54" s="15" t="n">
        <f aca="false">SUMIFS(Data!$V$2:$V$351,Data!$A$2:$A$351,I$3,Data!$C$2:$C$351,$A54)</f>
        <v>10</v>
      </c>
      <c r="J54" s="15" t="n">
        <f aca="false">SUMIFS(Data!$V$2:$V$351,Data!$A$2:$A$351,J$3,Data!$C$2:$C$351,$A54)</f>
        <v>5</v>
      </c>
      <c r="K54" s="15" t="n">
        <f aca="false">J54-E54</f>
        <v>5</v>
      </c>
      <c r="L54" s="15" t="n">
        <f aca="false">J54-I54</f>
        <v>-5</v>
      </c>
      <c r="M54" s="17" t="n">
        <f aca="false">IF(I54&gt;0,L54/I54,"")</f>
        <v>-0.5</v>
      </c>
      <c r="N54" s="22" t="n">
        <f aca="false">J54/J$74</f>
        <v>6.50808460301725E-007</v>
      </c>
      <c r="O54" s="15" t="n">
        <f aca="false">MAX(E54:J54)</f>
        <v>10</v>
      </c>
      <c r="P54" s="25" t="n">
        <f aca="false">INDEX($E$3:$J$3,MATCH(O54,E54:J54,0))</f>
        <v>2024</v>
      </c>
      <c r="Q54" s="15" t="n">
        <f aca="false">INDEX(E54:J54,MATCH(Explorer!$C$4,$E$3:$J$3,0))</f>
        <v>5</v>
      </c>
      <c r="R54" s="33" t="n">
        <f aca="false">Q54-ROW()/1000000</f>
        <v>4.999946</v>
      </c>
      <c r="S54" s="25" t="n">
        <f aca="false">RANK(R54,$R$4:$R$73)</f>
        <v>51</v>
      </c>
    </row>
    <row r="55" customFormat="false" ht="15" hidden="false" customHeight="false" outlineLevel="0" collapsed="false">
      <c r="A55" s="9" t="s">
        <v>206</v>
      </c>
      <c r="B55" s="9" t="str">
        <f aca="false">INDEX(Lookups!$B$5:$B$75,MATCH($A55,Lookups!$A$5:$A$75,0))</f>
        <v>Croatia</v>
      </c>
      <c r="C55" s="9" t="str">
        <f aca="false">INDEX(Lookups!$C$5:$C$75,MATCH($A55,Lookups!$A$5:$A$75,0))</f>
        <v>Europe</v>
      </c>
      <c r="D55" s="9" t="str">
        <f aca="false">INDEX(Lookups!$D$5:$D$75,MATCH($A55,Lookups!$A$5:$A$75,0))</f>
        <v>Europe</v>
      </c>
      <c r="E55" s="15" t="n">
        <f aca="false">SUMIFS(Data!$V$2:$V$351,Data!$A$2:$A$351,E$3,Data!$C$2:$C$351,$A55)</f>
        <v>0</v>
      </c>
      <c r="F55" s="15" t="n">
        <f aca="false">SUMIFS(Data!$V$2:$V$351,Data!$A$2:$A$351,F$3,Data!$C$2:$C$351,$A55)</f>
        <v>0</v>
      </c>
      <c r="G55" s="15" t="n">
        <f aca="false">SUMIFS(Data!$V$2:$V$351,Data!$A$2:$A$351,G$3,Data!$C$2:$C$351,$A55)</f>
        <v>0</v>
      </c>
      <c r="H55" s="15" t="n">
        <f aca="false">SUMIFS(Data!$V$2:$V$351,Data!$A$2:$A$351,H$3,Data!$C$2:$C$351,$A55)</f>
        <v>0</v>
      </c>
      <c r="I55" s="15" t="n">
        <f aca="false">SUMIFS(Data!$V$2:$V$351,Data!$A$2:$A$351,I$3,Data!$C$2:$C$351,$A55)</f>
        <v>6</v>
      </c>
      <c r="J55" s="15" t="n">
        <f aca="false">SUMIFS(Data!$V$2:$V$351,Data!$A$2:$A$351,J$3,Data!$C$2:$C$351,$A55)</f>
        <v>5</v>
      </c>
      <c r="K55" s="15" t="n">
        <f aca="false">J55-E55</f>
        <v>5</v>
      </c>
      <c r="L55" s="15" t="n">
        <f aca="false">J55-I55</f>
        <v>-1</v>
      </c>
      <c r="M55" s="17" t="n">
        <f aca="false">IF(I55&gt;0,L55/I55,"")</f>
        <v>-0.166666666666667</v>
      </c>
      <c r="N55" s="22" t="n">
        <f aca="false">J55/J$74</f>
        <v>6.50808460301725E-007</v>
      </c>
      <c r="O55" s="15" t="n">
        <f aca="false">MAX(E55:J55)</f>
        <v>6</v>
      </c>
      <c r="P55" s="25" t="n">
        <f aca="false">INDEX($E$3:$J$3,MATCH(O55,E55:J55,0))</f>
        <v>2024</v>
      </c>
      <c r="Q55" s="15" t="n">
        <f aca="false">INDEX(E55:J55,MATCH(Explorer!$C$4,$E$3:$J$3,0))</f>
        <v>5</v>
      </c>
      <c r="R55" s="33" t="n">
        <f aca="false">Q55-ROW()/1000000</f>
        <v>4.999945</v>
      </c>
      <c r="S55" s="25" t="n">
        <f aca="false">RANK(R55,$R$4:$R$73)</f>
        <v>52</v>
      </c>
    </row>
    <row r="56" customFormat="false" ht="15" hidden="false" customHeight="false" outlineLevel="0" collapsed="false">
      <c r="A56" s="9" t="s">
        <v>207</v>
      </c>
      <c r="B56" s="9" t="str">
        <f aca="false">INDEX(Lookups!$B$5:$B$75,MATCH($A56,Lookups!$A$5:$A$75,0))</f>
        <v>Slovenia</v>
      </c>
      <c r="C56" s="9" t="str">
        <f aca="false">INDEX(Lookups!$C$5:$C$75,MATCH($A56,Lookups!$A$5:$A$75,0))</f>
        <v>Europe</v>
      </c>
      <c r="D56" s="9" t="str">
        <f aca="false">INDEX(Lookups!$D$5:$D$75,MATCH($A56,Lookups!$A$5:$A$75,0))</f>
        <v>Europe</v>
      </c>
      <c r="E56" s="15" t="n">
        <f aca="false">SUMIFS(Data!$V$2:$V$351,Data!$A$2:$A$351,E$3,Data!$C$2:$C$351,$A56)</f>
        <v>0</v>
      </c>
      <c r="F56" s="15" t="n">
        <f aca="false">SUMIFS(Data!$V$2:$V$351,Data!$A$2:$A$351,F$3,Data!$C$2:$C$351,$A56)</f>
        <v>0</v>
      </c>
      <c r="G56" s="15" t="n">
        <f aca="false">SUMIFS(Data!$V$2:$V$351,Data!$A$2:$A$351,G$3,Data!$C$2:$C$351,$A56)</f>
        <v>0</v>
      </c>
      <c r="H56" s="15" t="n">
        <f aca="false">SUMIFS(Data!$V$2:$V$351,Data!$A$2:$A$351,H$3,Data!$C$2:$C$351,$A56)</f>
        <v>0</v>
      </c>
      <c r="I56" s="15" t="n">
        <f aca="false">SUMIFS(Data!$V$2:$V$351,Data!$A$2:$A$351,I$3,Data!$C$2:$C$351,$A56)</f>
        <v>0</v>
      </c>
      <c r="J56" s="15" t="n">
        <f aca="false">SUMIFS(Data!$V$2:$V$351,Data!$A$2:$A$351,J$3,Data!$C$2:$C$351,$A56)</f>
        <v>5</v>
      </c>
      <c r="K56" s="15" t="n">
        <f aca="false">J56-E56</f>
        <v>5</v>
      </c>
      <c r="L56" s="15" t="n">
        <f aca="false">J56-I56</f>
        <v>5</v>
      </c>
      <c r="M56" s="17" t="str">
        <f aca="false">IF(I56&gt;0,L56/I56,"")</f>
        <v/>
      </c>
      <c r="N56" s="22" t="n">
        <f aca="false">J56/J$74</f>
        <v>6.50808460301725E-007</v>
      </c>
      <c r="O56" s="15" t="n">
        <f aca="false">MAX(E56:J56)</f>
        <v>5</v>
      </c>
      <c r="P56" s="25" t="n">
        <f aca="false">INDEX($E$3:$J$3,MATCH(O56,E56:J56,0))</f>
        <v>2025</v>
      </c>
      <c r="Q56" s="15" t="n">
        <f aca="false">INDEX(E56:J56,MATCH(Explorer!$C$4,$E$3:$J$3,0))</f>
        <v>5</v>
      </c>
      <c r="R56" s="33" t="n">
        <f aca="false">Q56-ROW()/1000000</f>
        <v>4.999944</v>
      </c>
      <c r="S56" s="25" t="n">
        <f aca="false">RANK(R56,$R$4:$R$73)</f>
        <v>53</v>
      </c>
    </row>
    <row r="57" customFormat="false" ht="15" hidden="false" customHeight="false" outlineLevel="0" collapsed="false">
      <c r="A57" s="9" t="s">
        <v>208</v>
      </c>
      <c r="B57" s="9" t="str">
        <f aca="false">INDEX(Lookups!$B$5:$B$75,MATCH($A57,Lookups!$A$5:$A$75,0))</f>
        <v>Liechtenstein</v>
      </c>
      <c r="C57" s="9" t="str">
        <f aca="false">INDEX(Lookups!$C$5:$C$75,MATCH($A57,Lookups!$A$5:$A$75,0))</f>
        <v>Europe</v>
      </c>
      <c r="D57" s="9" t="str">
        <f aca="false">INDEX(Lookups!$D$5:$D$75,MATCH($A57,Lookups!$A$5:$A$75,0))</f>
        <v>Europe</v>
      </c>
      <c r="E57" s="15" t="n">
        <f aca="false">SUMIFS(Data!$V$2:$V$351,Data!$A$2:$A$351,E$3,Data!$C$2:$C$351,$A57)</f>
        <v>0</v>
      </c>
      <c r="F57" s="15" t="n">
        <f aca="false">SUMIFS(Data!$V$2:$V$351,Data!$A$2:$A$351,F$3,Data!$C$2:$C$351,$A57)</f>
        <v>0</v>
      </c>
      <c r="G57" s="15" t="n">
        <f aca="false">SUMIFS(Data!$V$2:$V$351,Data!$A$2:$A$351,G$3,Data!$C$2:$C$351,$A57)</f>
        <v>0</v>
      </c>
      <c r="H57" s="15" t="n">
        <f aca="false">SUMIFS(Data!$V$2:$V$351,Data!$A$2:$A$351,H$3,Data!$C$2:$C$351,$A57)</f>
        <v>0</v>
      </c>
      <c r="I57" s="15" t="n">
        <f aca="false">SUMIFS(Data!$V$2:$V$351,Data!$A$2:$A$351,I$3,Data!$C$2:$C$351,$A57)</f>
        <v>0</v>
      </c>
      <c r="J57" s="15" t="n">
        <f aca="false">SUMIFS(Data!$V$2:$V$351,Data!$A$2:$A$351,J$3,Data!$C$2:$C$351,$A57)</f>
        <v>5</v>
      </c>
      <c r="K57" s="15" t="n">
        <f aca="false">J57-E57</f>
        <v>5</v>
      </c>
      <c r="L57" s="15" t="n">
        <f aca="false">J57-I57</f>
        <v>5</v>
      </c>
      <c r="M57" s="17" t="str">
        <f aca="false">IF(I57&gt;0,L57/I57,"")</f>
        <v/>
      </c>
      <c r="N57" s="22" t="n">
        <f aca="false">J57/J$74</f>
        <v>6.50808460301725E-007</v>
      </c>
      <c r="O57" s="15" t="n">
        <f aca="false">MAX(E57:J57)</f>
        <v>5</v>
      </c>
      <c r="P57" s="25" t="n">
        <f aca="false">INDEX($E$3:$J$3,MATCH(O57,E57:J57,0))</f>
        <v>2025</v>
      </c>
      <c r="Q57" s="15" t="n">
        <f aca="false">INDEX(E57:J57,MATCH(Explorer!$C$4,$E$3:$J$3,0))</f>
        <v>5</v>
      </c>
      <c r="R57" s="33" t="n">
        <f aca="false">Q57-ROW()/1000000</f>
        <v>4.999943</v>
      </c>
      <c r="S57" s="25" t="n">
        <f aca="false">RANK(R57,$R$4:$R$73)</f>
        <v>54</v>
      </c>
    </row>
    <row r="58" customFormat="false" ht="15" hidden="false" customHeight="false" outlineLevel="0" collapsed="false">
      <c r="A58" s="9" t="s">
        <v>209</v>
      </c>
      <c r="B58" s="9" t="str">
        <f aca="false">INDEX(Lookups!$B$5:$B$75,MATCH($A58,Lookups!$A$5:$A$75,0))</f>
        <v>Bulgaria</v>
      </c>
      <c r="C58" s="9" t="str">
        <f aca="false">INDEX(Lookups!$C$5:$C$75,MATCH($A58,Lookups!$A$5:$A$75,0))</f>
        <v>Europe</v>
      </c>
      <c r="D58" s="9" t="str">
        <f aca="false">INDEX(Lookups!$D$5:$D$75,MATCH($A58,Lookups!$A$5:$A$75,0))</f>
        <v>Europe</v>
      </c>
      <c r="E58" s="15" t="n">
        <f aca="false">SUMIFS(Data!$V$2:$V$351,Data!$A$2:$A$351,E$3,Data!$C$2:$C$351,$A58)</f>
        <v>5</v>
      </c>
      <c r="F58" s="15" t="n">
        <f aca="false">SUMIFS(Data!$V$2:$V$351,Data!$A$2:$A$351,F$3,Data!$C$2:$C$351,$A58)</f>
        <v>5</v>
      </c>
      <c r="G58" s="15" t="n">
        <f aca="false">SUMIFS(Data!$V$2:$V$351,Data!$A$2:$A$351,G$3,Data!$C$2:$C$351,$A58)</f>
        <v>0</v>
      </c>
      <c r="H58" s="15" t="n">
        <f aca="false">SUMIFS(Data!$V$2:$V$351,Data!$A$2:$A$351,H$3,Data!$C$2:$C$351,$A58)</f>
        <v>5</v>
      </c>
      <c r="I58" s="15" t="n">
        <f aca="false">SUMIFS(Data!$V$2:$V$351,Data!$A$2:$A$351,I$3,Data!$C$2:$C$351,$A58)</f>
        <v>0</v>
      </c>
      <c r="J58" s="15" t="n">
        <f aca="false">SUMIFS(Data!$V$2:$V$351,Data!$A$2:$A$351,J$3,Data!$C$2:$C$351,$A58)</f>
        <v>0</v>
      </c>
      <c r="K58" s="15" t="n">
        <f aca="false">J58-E58</f>
        <v>-5</v>
      </c>
      <c r="L58" s="15" t="n">
        <f aca="false">J58-I58</f>
        <v>0</v>
      </c>
      <c r="M58" s="17" t="str">
        <f aca="false">IF(I58&gt;0,L58/I58,"")</f>
        <v/>
      </c>
      <c r="N58" s="22" t="n">
        <f aca="false">J58/J$74</f>
        <v>0</v>
      </c>
      <c r="O58" s="15" t="n">
        <f aca="false">MAX(E58:J58)</f>
        <v>5</v>
      </c>
      <c r="P58" s="25" t="n">
        <f aca="false">INDEX($E$3:$J$3,MATCH(O58,E58:J58,0))</f>
        <v>2020</v>
      </c>
      <c r="Q58" s="15" t="n">
        <f aca="false">INDEX(E58:J58,MATCH(Explorer!$C$4,$E$3:$J$3,0))</f>
        <v>0</v>
      </c>
      <c r="R58" s="33" t="n">
        <f aca="false">Q58-ROW()/1000000</f>
        <v>-5.8E-005</v>
      </c>
      <c r="S58" s="25" t="n">
        <f aca="false">RANK(R58,$R$4:$R$73)</f>
        <v>55</v>
      </c>
    </row>
    <row r="59" customFormat="false" ht="15" hidden="false" customHeight="false" outlineLevel="0" collapsed="false">
      <c r="A59" s="9" t="s">
        <v>210</v>
      </c>
      <c r="B59" s="9" t="str">
        <f aca="false">INDEX(Lookups!$B$5:$B$75,MATCH($A59,Lookups!$A$5:$A$75,0))</f>
        <v>Barbados</v>
      </c>
      <c r="C59" s="9" t="str">
        <f aca="false">INDEX(Lookups!$C$5:$C$75,MATCH($A59,Lookups!$A$5:$A$75,0))</f>
        <v>Latin America &amp; Caribbean</v>
      </c>
      <c r="D59" s="9" t="str">
        <f aca="false">INDEX(Lookups!$D$5:$D$75,MATCH($A59,Lookups!$A$5:$A$75,0))</f>
        <v>Caribbean &amp; Guianas</v>
      </c>
      <c r="E59" s="15" t="n">
        <f aca="false">SUMIFS(Data!$V$2:$V$351,Data!$A$2:$A$351,E$3,Data!$C$2:$C$351,$A59)</f>
        <v>5</v>
      </c>
      <c r="F59" s="15" t="n">
        <f aca="false">SUMIFS(Data!$V$2:$V$351,Data!$A$2:$A$351,F$3,Data!$C$2:$C$351,$A59)</f>
        <v>5</v>
      </c>
      <c r="G59" s="15" t="n">
        <f aca="false">SUMIFS(Data!$V$2:$V$351,Data!$A$2:$A$351,G$3,Data!$C$2:$C$351,$A59)</f>
        <v>0</v>
      </c>
      <c r="H59" s="15" t="n">
        <f aca="false">SUMIFS(Data!$V$2:$V$351,Data!$A$2:$A$351,H$3,Data!$C$2:$C$351,$A59)</f>
        <v>5</v>
      </c>
      <c r="I59" s="15" t="n">
        <f aca="false">SUMIFS(Data!$V$2:$V$351,Data!$A$2:$A$351,I$3,Data!$C$2:$C$351,$A59)</f>
        <v>0</v>
      </c>
      <c r="J59" s="15" t="n">
        <f aca="false">SUMIFS(Data!$V$2:$V$351,Data!$A$2:$A$351,J$3,Data!$C$2:$C$351,$A59)</f>
        <v>0</v>
      </c>
      <c r="K59" s="15" t="n">
        <f aca="false">J59-E59</f>
        <v>-5</v>
      </c>
      <c r="L59" s="15" t="n">
        <f aca="false">J59-I59</f>
        <v>0</v>
      </c>
      <c r="M59" s="17" t="str">
        <f aca="false">IF(I59&gt;0,L59/I59,"")</f>
        <v/>
      </c>
      <c r="N59" s="22" t="n">
        <f aca="false">J59/J$74</f>
        <v>0</v>
      </c>
      <c r="O59" s="15" t="n">
        <f aca="false">MAX(E59:J59)</f>
        <v>5</v>
      </c>
      <c r="P59" s="25" t="n">
        <f aca="false">INDEX($E$3:$J$3,MATCH(O59,E59:J59,0))</f>
        <v>2020</v>
      </c>
      <c r="Q59" s="15" t="n">
        <f aca="false">INDEX(E59:J59,MATCH(Explorer!$C$4,$E$3:$J$3,0))</f>
        <v>0</v>
      </c>
      <c r="R59" s="33" t="n">
        <f aca="false">Q59-ROW()/1000000</f>
        <v>-5.9E-005</v>
      </c>
      <c r="S59" s="25" t="n">
        <f aca="false">RANK(R59,$R$4:$R$73)</f>
        <v>56</v>
      </c>
    </row>
    <row r="60" customFormat="false" ht="15" hidden="false" customHeight="false" outlineLevel="0" collapsed="false">
      <c r="A60" s="9" t="s">
        <v>211</v>
      </c>
      <c r="B60" s="9" t="str">
        <f aca="false">INDEX(Lookups!$B$5:$B$75,MATCH($A60,Lookups!$A$5:$A$75,0))</f>
        <v>Anguilla</v>
      </c>
      <c r="C60" s="9" t="str">
        <f aca="false">INDEX(Lookups!$C$5:$C$75,MATCH($A60,Lookups!$A$5:$A$75,0))</f>
        <v>Latin America &amp; Caribbean</v>
      </c>
      <c r="D60" s="9" t="str">
        <f aca="false">INDEX(Lookups!$D$5:$D$75,MATCH($A60,Lookups!$A$5:$A$75,0))</f>
        <v>Caribbean &amp; Guianas</v>
      </c>
      <c r="E60" s="15" t="n">
        <f aca="false">SUMIFS(Data!$V$2:$V$351,Data!$A$2:$A$351,E$3,Data!$C$2:$C$351,$A60)</f>
        <v>21</v>
      </c>
      <c r="F60" s="15" t="n">
        <f aca="false">SUMIFS(Data!$V$2:$V$351,Data!$A$2:$A$351,F$3,Data!$C$2:$C$351,$A60)</f>
        <v>25</v>
      </c>
      <c r="G60" s="15" t="n">
        <f aca="false">SUMIFS(Data!$V$2:$V$351,Data!$A$2:$A$351,G$3,Data!$C$2:$C$351,$A60)</f>
        <v>25</v>
      </c>
      <c r="H60" s="15" t="n">
        <f aca="false">SUMIFS(Data!$V$2:$V$351,Data!$A$2:$A$351,H$3,Data!$C$2:$C$351,$A60)</f>
        <v>0</v>
      </c>
      <c r="I60" s="15" t="n">
        <f aca="false">SUMIFS(Data!$V$2:$V$351,Data!$A$2:$A$351,I$3,Data!$C$2:$C$351,$A60)</f>
        <v>0</v>
      </c>
      <c r="J60" s="15" t="n">
        <f aca="false">SUMIFS(Data!$V$2:$V$351,Data!$A$2:$A$351,J$3,Data!$C$2:$C$351,$A60)</f>
        <v>0</v>
      </c>
      <c r="K60" s="15" t="n">
        <f aca="false">J60-E60</f>
        <v>-21</v>
      </c>
      <c r="L60" s="15" t="n">
        <f aca="false">J60-I60</f>
        <v>0</v>
      </c>
      <c r="M60" s="17" t="str">
        <f aca="false">IF(I60&gt;0,L60/I60,"")</f>
        <v/>
      </c>
      <c r="N60" s="22" t="n">
        <f aca="false">J60/J$74</f>
        <v>0</v>
      </c>
      <c r="O60" s="15" t="n">
        <f aca="false">MAX(E60:J60)</f>
        <v>25</v>
      </c>
      <c r="P60" s="25" t="n">
        <f aca="false">INDEX($E$3:$J$3,MATCH(O60,E60:J60,0))</f>
        <v>2021</v>
      </c>
      <c r="Q60" s="15" t="n">
        <f aca="false">INDEX(E60:J60,MATCH(Explorer!$C$4,$E$3:$J$3,0))</f>
        <v>0</v>
      </c>
      <c r="R60" s="33" t="n">
        <f aca="false">Q60-ROW()/1000000</f>
        <v>-6E-005</v>
      </c>
      <c r="S60" s="25" t="n">
        <f aca="false">RANK(R60,$R$4:$R$73)</f>
        <v>57</v>
      </c>
    </row>
    <row r="61" customFormat="false" ht="15" hidden="false" customHeight="false" outlineLevel="0" collapsed="false">
      <c r="A61" s="9" t="s">
        <v>212</v>
      </c>
      <c r="B61" s="9" t="str">
        <f aca="false">INDEX(Lookups!$B$5:$B$75,MATCH($A61,Lookups!$A$5:$A$75,0))</f>
        <v>Montenegro</v>
      </c>
      <c r="C61" s="9" t="str">
        <f aca="false">INDEX(Lookups!$C$5:$C$75,MATCH($A61,Lookups!$A$5:$A$75,0))</f>
        <v>Europe</v>
      </c>
      <c r="D61" s="9" t="str">
        <f aca="false">INDEX(Lookups!$D$5:$D$75,MATCH($A61,Lookups!$A$5:$A$75,0))</f>
        <v>Europe</v>
      </c>
      <c r="E61" s="15" t="n">
        <f aca="false">SUMIFS(Data!$V$2:$V$351,Data!$A$2:$A$351,E$3,Data!$C$2:$C$351,$A61)</f>
        <v>5</v>
      </c>
      <c r="F61" s="15" t="n">
        <f aca="false">SUMIFS(Data!$V$2:$V$351,Data!$A$2:$A$351,F$3,Data!$C$2:$C$351,$A61)</f>
        <v>5</v>
      </c>
      <c r="G61" s="15" t="n">
        <f aca="false">SUMIFS(Data!$V$2:$V$351,Data!$A$2:$A$351,G$3,Data!$C$2:$C$351,$A61)</f>
        <v>0</v>
      </c>
      <c r="H61" s="15" t="n">
        <f aca="false">SUMIFS(Data!$V$2:$V$351,Data!$A$2:$A$351,H$3,Data!$C$2:$C$351,$A61)</f>
        <v>0</v>
      </c>
      <c r="I61" s="15" t="n">
        <f aca="false">SUMIFS(Data!$V$2:$V$351,Data!$A$2:$A$351,I$3,Data!$C$2:$C$351,$A61)</f>
        <v>0</v>
      </c>
      <c r="J61" s="15" t="n">
        <f aca="false">SUMIFS(Data!$V$2:$V$351,Data!$A$2:$A$351,J$3,Data!$C$2:$C$351,$A61)</f>
        <v>0</v>
      </c>
      <c r="K61" s="15" t="n">
        <f aca="false">J61-E61</f>
        <v>-5</v>
      </c>
      <c r="L61" s="15" t="n">
        <f aca="false">J61-I61</f>
        <v>0</v>
      </c>
      <c r="M61" s="17" t="str">
        <f aca="false">IF(I61&gt;0,L61/I61,"")</f>
        <v/>
      </c>
      <c r="N61" s="22" t="n">
        <f aca="false">J61/J$74</f>
        <v>0</v>
      </c>
      <c r="O61" s="15" t="n">
        <f aca="false">MAX(E61:J61)</f>
        <v>5</v>
      </c>
      <c r="P61" s="25" t="n">
        <f aca="false">INDEX($E$3:$J$3,MATCH(O61,E61:J61,0))</f>
        <v>2020</v>
      </c>
      <c r="Q61" s="15" t="n">
        <f aca="false">INDEX(E61:J61,MATCH(Explorer!$C$4,$E$3:$J$3,0))</f>
        <v>0</v>
      </c>
      <c r="R61" s="33" t="n">
        <f aca="false">Q61-ROW()/1000000</f>
        <v>-6.1E-005</v>
      </c>
      <c r="S61" s="25" t="n">
        <f aca="false">RANK(R61,$R$4:$R$73)</f>
        <v>58</v>
      </c>
    </row>
    <row r="62" customFormat="false" ht="15" hidden="false" customHeight="false" outlineLevel="0" collapsed="false">
      <c r="A62" s="9" t="s">
        <v>213</v>
      </c>
      <c r="B62" s="9" t="str">
        <f aca="false">INDEX(Lookups!$B$5:$B$75,MATCH($A62,Lookups!$A$5:$A$75,0))</f>
        <v>Hungary</v>
      </c>
      <c r="C62" s="9" t="str">
        <f aca="false">INDEX(Lookups!$C$5:$C$75,MATCH($A62,Lookups!$A$5:$A$75,0))</f>
        <v>Europe</v>
      </c>
      <c r="D62" s="9" t="str">
        <f aca="false">INDEX(Lookups!$D$5:$D$75,MATCH($A62,Lookups!$A$5:$A$75,0))</f>
        <v>Europe</v>
      </c>
      <c r="E62" s="15" t="n">
        <f aca="false">SUMIFS(Data!$V$2:$V$351,Data!$A$2:$A$351,E$3,Data!$C$2:$C$351,$A62)</f>
        <v>0</v>
      </c>
      <c r="F62" s="15" t="n">
        <f aca="false">SUMIFS(Data!$V$2:$V$351,Data!$A$2:$A$351,F$3,Data!$C$2:$C$351,$A62)</f>
        <v>0</v>
      </c>
      <c r="G62" s="15" t="n">
        <f aca="false">SUMIFS(Data!$V$2:$V$351,Data!$A$2:$A$351,G$3,Data!$C$2:$C$351,$A62)</f>
        <v>0</v>
      </c>
      <c r="H62" s="15" t="n">
        <f aca="false">SUMIFS(Data!$V$2:$V$351,Data!$A$2:$A$351,H$3,Data!$C$2:$C$351,$A62)</f>
        <v>0</v>
      </c>
      <c r="I62" s="15" t="n">
        <f aca="false">SUMIFS(Data!$V$2:$V$351,Data!$A$2:$A$351,I$3,Data!$C$2:$C$351,$A62)</f>
        <v>5</v>
      </c>
      <c r="J62" s="15" t="n">
        <f aca="false">SUMIFS(Data!$V$2:$V$351,Data!$A$2:$A$351,J$3,Data!$C$2:$C$351,$A62)</f>
        <v>0</v>
      </c>
      <c r="K62" s="15" t="n">
        <f aca="false">J62-E62</f>
        <v>0</v>
      </c>
      <c r="L62" s="15" t="n">
        <f aca="false">J62-I62</f>
        <v>-5</v>
      </c>
      <c r="M62" s="17" t="n">
        <f aca="false">IF(I62&gt;0,L62/I62,"")</f>
        <v>-1</v>
      </c>
      <c r="N62" s="22" t="n">
        <f aca="false">J62/J$74</f>
        <v>0</v>
      </c>
      <c r="O62" s="15" t="n">
        <f aca="false">MAX(E62:J62)</f>
        <v>5</v>
      </c>
      <c r="P62" s="25" t="n">
        <f aca="false">INDEX($E$3:$J$3,MATCH(O62,E62:J62,0))</f>
        <v>2024</v>
      </c>
      <c r="Q62" s="15" t="n">
        <f aca="false">INDEX(E62:J62,MATCH(Explorer!$C$4,$E$3:$J$3,0))</f>
        <v>0</v>
      </c>
      <c r="R62" s="33" t="n">
        <f aca="false">Q62-ROW()/1000000</f>
        <v>-6.2E-005</v>
      </c>
      <c r="S62" s="25" t="n">
        <f aca="false">RANK(R62,$R$4:$R$73)</f>
        <v>59</v>
      </c>
    </row>
    <row r="63" customFormat="false" ht="15" hidden="false" customHeight="false" outlineLevel="0" collapsed="false">
      <c r="A63" s="9" t="s">
        <v>214</v>
      </c>
      <c r="B63" s="9" t="str">
        <f aca="false">INDEX(Lookups!$B$5:$B$75,MATCH($A63,Lookups!$A$5:$A$75,0))</f>
        <v>Antigua and Barbuda</v>
      </c>
      <c r="C63" s="9" t="str">
        <f aca="false">INDEX(Lookups!$C$5:$C$75,MATCH($A63,Lookups!$A$5:$A$75,0))</f>
        <v>Latin America &amp; Caribbean</v>
      </c>
      <c r="D63" s="9" t="str">
        <f aca="false">INDEX(Lookups!$D$5:$D$75,MATCH($A63,Lookups!$A$5:$A$75,0))</f>
        <v>Caribbean &amp; Guianas</v>
      </c>
      <c r="E63" s="15" t="n">
        <f aca="false">SUMIFS(Data!$V$2:$V$351,Data!$A$2:$A$351,E$3,Data!$C$2:$C$351,$A63)</f>
        <v>0</v>
      </c>
      <c r="F63" s="15" t="n">
        <f aca="false">SUMIFS(Data!$V$2:$V$351,Data!$A$2:$A$351,F$3,Data!$C$2:$C$351,$A63)</f>
        <v>0</v>
      </c>
      <c r="G63" s="15" t="n">
        <f aca="false">SUMIFS(Data!$V$2:$V$351,Data!$A$2:$A$351,G$3,Data!$C$2:$C$351,$A63)</f>
        <v>54</v>
      </c>
      <c r="H63" s="15" t="n">
        <f aca="false">SUMIFS(Data!$V$2:$V$351,Data!$A$2:$A$351,H$3,Data!$C$2:$C$351,$A63)</f>
        <v>0</v>
      </c>
      <c r="I63" s="15" t="n">
        <f aca="false">SUMIFS(Data!$V$2:$V$351,Data!$A$2:$A$351,I$3,Data!$C$2:$C$351,$A63)</f>
        <v>0</v>
      </c>
      <c r="J63" s="15" t="n">
        <f aca="false">SUMIFS(Data!$V$2:$V$351,Data!$A$2:$A$351,J$3,Data!$C$2:$C$351,$A63)</f>
        <v>0</v>
      </c>
      <c r="K63" s="15" t="n">
        <f aca="false">J63-E63</f>
        <v>0</v>
      </c>
      <c r="L63" s="15" t="n">
        <f aca="false">J63-I63</f>
        <v>0</v>
      </c>
      <c r="M63" s="17" t="str">
        <f aca="false">IF(I63&gt;0,L63/I63,"")</f>
        <v/>
      </c>
      <c r="N63" s="22" t="n">
        <f aca="false">J63/J$74</f>
        <v>0</v>
      </c>
      <c r="O63" s="15" t="n">
        <f aca="false">MAX(E63:J63)</f>
        <v>54</v>
      </c>
      <c r="P63" s="25" t="n">
        <f aca="false">INDEX($E$3:$J$3,MATCH(O63,E63:J63,0))</f>
        <v>2022</v>
      </c>
      <c r="Q63" s="15" t="n">
        <f aca="false">INDEX(E63:J63,MATCH(Explorer!$C$4,$E$3:$J$3,0))</f>
        <v>0</v>
      </c>
      <c r="R63" s="33" t="n">
        <f aca="false">Q63-ROW()/1000000</f>
        <v>-6.3E-005</v>
      </c>
      <c r="S63" s="25" t="n">
        <f aca="false">RANK(R63,$R$4:$R$73)</f>
        <v>60</v>
      </c>
    </row>
    <row r="64" customFormat="false" ht="15" hidden="false" customHeight="false" outlineLevel="0" collapsed="false">
      <c r="A64" s="9" t="s">
        <v>215</v>
      </c>
      <c r="B64" s="9" t="str">
        <f aca="false">INDEX(Lookups!$B$5:$B$75,MATCH($A64,Lookups!$A$5:$A$75,0))</f>
        <v>Saint Vincent and the Grenadines</v>
      </c>
      <c r="C64" s="9" t="str">
        <f aca="false">INDEX(Lookups!$C$5:$C$75,MATCH($A64,Lookups!$A$5:$A$75,0))</f>
        <v>Latin America &amp; Caribbean</v>
      </c>
      <c r="D64" s="9" t="str">
        <f aca="false">INDEX(Lookups!$D$5:$D$75,MATCH($A64,Lookups!$A$5:$A$75,0))</f>
        <v>Caribbean &amp; Guianas</v>
      </c>
      <c r="E64" s="15" t="n">
        <f aca="false">SUMIFS(Data!$V$2:$V$351,Data!$A$2:$A$351,E$3,Data!$C$2:$C$351,$A64)</f>
        <v>14</v>
      </c>
      <c r="F64" s="15" t="n">
        <f aca="false">SUMIFS(Data!$V$2:$V$351,Data!$A$2:$A$351,F$3,Data!$C$2:$C$351,$A64)</f>
        <v>5</v>
      </c>
      <c r="G64" s="15" t="n">
        <f aca="false">SUMIFS(Data!$V$2:$V$351,Data!$A$2:$A$351,G$3,Data!$C$2:$C$351,$A64)</f>
        <v>5</v>
      </c>
      <c r="H64" s="15" t="n">
        <f aca="false">SUMIFS(Data!$V$2:$V$351,Data!$A$2:$A$351,H$3,Data!$C$2:$C$351,$A64)</f>
        <v>0</v>
      </c>
      <c r="I64" s="15" t="n">
        <f aca="false">SUMIFS(Data!$V$2:$V$351,Data!$A$2:$A$351,I$3,Data!$C$2:$C$351,$A64)</f>
        <v>0</v>
      </c>
      <c r="J64" s="15" t="n">
        <f aca="false">SUMIFS(Data!$V$2:$V$351,Data!$A$2:$A$351,J$3,Data!$C$2:$C$351,$A64)</f>
        <v>0</v>
      </c>
      <c r="K64" s="15" t="n">
        <f aca="false">J64-E64</f>
        <v>-14</v>
      </c>
      <c r="L64" s="15" t="n">
        <f aca="false">J64-I64</f>
        <v>0</v>
      </c>
      <c r="M64" s="17" t="str">
        <f aca="false">IF(I64&gt;0,L64/I64,"")</f>
        <v/>
      </c>
      <c r="N64" s="22" t="n">
        <f aca="false">J64/J$74</f>
        <v>0</v>
      </c>
      <c r="O64" s="15" t="n">
        <f aca="false">MAX(E64:J64)</f>
        <v>14</v>
      </c>
      <c r="P64" s="25" t="n">
        <f aca="false">INDEX($E$3:$J$3,MATCH(O64,E64:J64,0))</f>
        <v>2020</v>
      </c>
      <c r="Q64" s="15" t="n">
        <f aca="false">INDEX(E64:J64,MATCH(Explorer!$C$4,$E$3:$J$3,0))</f>
        <v>0</v>
      </c>
      <c r="R64" s="33" t="n">
        <f aca="false">Q64-ROW()/1000000</f>
        <v>-6.4E-005</v>
      </c>
      <c r="S64" s="25" t="n">
        <f aca="false">RANK(R64,$R$4:$R$73)</f>
        <v>61</v>
      </c>
    </row>
    <row r="65" customFormat="false" ht="15" hidden="false" customHeight="false" outlineLevel="0" collapsed="false">
      <c r="A65" s="9" t="s">
        <v>216</v>
      </c>
      <c r="B65" s="9" t="str">
        <f aca="false">INDEX(Lookups!$B$5:$B$75,MATCH($A65,Lookups!$A$5:$A$75,0))</f>
        <v>Saint Kitts and Nevis</v>
      </c>
      <c r="C65" s="9" t="str">
        <f aca="false">INDEX(Lookups!$C$5:$C$75,MATCH($A65,Lookups!$A$5:$A$75,0))</f>
        <v>Latin America &amp; Caribbean</v>
      </c>
      <c r="D65" s="9" t="str">
        <f aca="false">INDEX(Lookups!$D$5:$D$75,MATCH($A65,Lookups!$A$5:$A$75,0))</f>
        <v>Caribbean &amp; Guianas</v>
      </c>
      <c r="E65" s="15" t="n">
        <f aca="false">SUMIFS(Data!$V$2:$V$351,Data!$A$2:$A$351,E$3,Data!$C$2:$C$351,$A65)</f>
        <v>19</v>
      </c>
      <c r="F65" s="15" t="n">
        <f aca="false">SUMIFS(Data!$V$2:$V$351,Data!$A$2:$A$351,F$3,Data!$C$2:$C$351,$A65)</f>
        <v>60</v>
      </c>
      <c r="G65" s="15" t="n">
        <f aca="false">SUMIFS(Data!$V$2:$V$351,Data!$A$2:$A$351,G$3,Data!$C$2:$C$351,$A65)</f>
        <v>60</v>
      </c>
      <c r="H65" s="15" t="n">
        <f aca="false">SUMIFS(Data!$V$2:$V$351,Data!$A$2:$A$351,H$3,Data!$C$2:$C$351,$A65)</f>
        <v>0</v>
      </c>
      <c r="I65" s="15" t="n">
        <f aca="false">SUMIFS(Data!$V$2:$V$351,Data!$A$2:$A$351,I$3,Data!$C$2:$C$351,$A65)</f>
        <v>0</v>
      </c>
      <c r="J65" s="15" t="n">
        <f aca="false">SUMIFS(Data!$V$2:$V$351,Data!$A$2:$A$351,J$3,Data!$C$2:$C$351,$A65)</f>
        <v>0</v>
      </c>
      <c r="K65" s="15" t="n">
        <f aca="false">J65-E65</f>
        <v>-19</v>
      </c>
      <c r="L65" s="15" t="n">
        <f aca="false">J65-I65</f>
        <v>0</v>
      </c>
      <c r="M65" s="17" t="str">
        <f aca="false">IF(I65&gt;0,L65/I65,"")</f>
        <v/>
      </c>
      <c r="N65" s="22" t="n">
        <f aca="false">J65/J$74</f>
        <v>0</v>
      </c>
      <c r="O65" s="15" t="n">
        <f aca="false">MAX(E65:J65)</f>
        <v>60</v>
      </c>
      <c r="P65" s="25" t="n">
        <f aca="false">INDEX($E$3:$J$3,MATCH(O65,E65:J65,0))</f>
        <v>2021</v>
      </c>
      <c r="Q65" s="15" t="n">
        <f aca="false">INDEX(E65:J65,MATCH(Explorer!$C$4,$E$3:$J$3,0))</f>
        <v>0</v>
      </c>
      <c r="R65" s="33" t="n">
        <f aca="false">Q65-ROW()/1000000</f>
        <v>-6.5E-005</v>
      </c>
      <c r="S65" s="25" t="n">
        <f aca="false">RANK(R65,$R$4:$R$73)</f>
        <v>62</v>
      </c>
    </row>
    <row r="66" customFormat="false" ht="15" hidden="false" customHeight="false" outlineLevel="0" collapsed="false">
      <c r="A66" s="9" t="s">
        <v>217</v>
      </c>
      <c r="B66" s="9" t="str">
        <f aca="false">INDEX(Lookups!$B$5:$B$75,MATCH($A66,Lookups!$A$5:$A$75,0))</f>
        <v>Jamaica</v>
      </c>
      <c r="C66" s="9" t="str">
        <f aca="false">INDEX(Lookups!$C$5:$C$75,MATCH($A66,Lookups!$A$5:$A$75,0))</f>
        <v>Latin America &amp; Caribbean</v>
      </c>
      <c r="D66" s="9" t="str">
        <f aca="false">INDEX(Lookups!$D$5:$D$75,MATCH($A66,Lookups!$A$5:$A$75,0))</f>
        <v>Caribbean &amp; Guianas</v>
      </c>
      <c r="E66" s="15" t="n">
        <f aca="false">SUMIFS(Data!$V$2:$V$351,Data!$A$2:$A$351,E$3,Data!$C$2:$C$351,$A66)</f>
        <v>67</v>
      </c>
      <c r="F66" s="15" t="n">
        <f aca="false">SUMIFS(Data!$V$2:$V$351,Data!$A$2:$A$351,F$3,Data!$C$2:$C$351,$A66)</f>
        <v>67</v>
      </c>
      <c r="G66" s="15" t="n">
        <f aca="false">SUMIFS(Data!$V$2:$V$351,Data!$A$2:$A$351,G$3,Data!$C$2:$C$351,$A66)</f>
        <v>67</v>
      </c>
      <c r="H66" s="15" t="n">
        <f aca="false">SUMIFS(Data!$V$2:$V$351,Data!$A$2:$A$351,H$3,Data!$C$2:$C$351,$A66)</f>
        <v>0</v>
      </c>
      <c r="I66" s="15" t="n">
        <f aca="false">SUMIFS(Data!$V$2:$V$351,Data!$A$2:$A$351,I$3,Data!$C$2:$C$351,$A66)</f>
        <v>0</v>
      </c>
      <c r="J66" s="15" t="n">
        <f aca="false">SUMIFS(Data!$V$2:$V$351,Data!$A$2:$A$351,J$3,Data!$C$2:$C$351,$A66)</f>
        <v>0</v>
      </c>
      <c r="K66" s="15" t="n">
        <f aca="false">J66-E66</f>
        <v>-67</v>
      </c>
      <c r="L66" s="15" t="n">
        <f aca="false">J66-I66</f>
        <v>0</v>
      </c>
      <c r="M66" s="17" t="str">
        <f aca="false">IF(I66&gt;0,L66/I66,"")</f>
        <v/>
      </c>
      <c r="N66" s="22" t="n">
        <f aca="false">J66/J$74</f>
        <v>0</v>
      </c>
      <c r="O66" s="15" t="n">
        <f aca="false">MAX(E66:J66)</f>
        <v>67</v>
      </c>
      <c r="P66" s="25" t="n">
        <f aca="false">INDEX($E$3:$J$3,MATCH(O66,E66:J66,0))</f>
        <v>2020</v>
      </c>
      <c r="Q66" s="15" t="n">
        <f aca="false">INDEX(E66:J66,MATCH(Explorer!$C$4,$E$3:$J$3,0))</f>
        <v>0</v>
      </c>
      <c r="R66" s="33" t="n">
        <f aca="false">Q66-ROW()/1000000</f>
        <v>-6.6E-005</v>
      </c>
      <c r="S66" s="25" t="n">
        <f aca="false">RANK(R66,$R$4:$R$73)</f>
        <v>63</v>
      </c>
    </row>
    <row r="67" customFormat="false" ht="15" hidden="false" customHeight="false" outlineLevel="0" collapsed="false">
      <c r="A67" s="9" t="s">
        <v>218</v>
      </c>
      <c r="B67" s="9" t="str">
        <f aca="false">INDEX(Lookups!$B$5:$B$75,MATCH($A67,Lookups!$A$5:$A$75,0))</f>
        <v>Grenada</v>
      </c>
      <c r="C67" s="9" t="str">
        <f aca="false">INDEX(Lookups!$C$5:$C$75,MATCH($A67,Lookups!$A$5:$A$75,0))</f>
        <v>Latin America &amp; Caribbean</v>
      </c>
      <c r="D67" s="9" t="str">
        <f aca="false">INDEX(Lookups!$D$5:$D$75,MATCH($A67,Lookups!$A$5:$A$75,0))</f>
        <v>Caribbean &amp; Guianas</v>
      </c>
      <c r="E67" s="15" t="n">
        <f aca="false">SUMIFS(Data!$V$2:$V$351,Data!$A$2:$A$351,E$3,Data!$C$2:$C$351,$A67)</f>
        <v>234</v>
      </c>
      <c r="F67" s="15" t="n">
        <f aca="false">SUMIFS(Data!$V$2:$V$351,Data!$A$2:$A$351,F$3,Data!$C$2:$C$351,$A67)</f>
        <v>234</v>
      </c>
      <c r="G67" s="15" t="n">
        <f aca="false">SUMIFS(Data!$V$2:$V$351,Data!$A$2:$A$351,G$3,Data!$C$2:$C$351,$A67)</f>
        <v>234</v>
      </c>
      <c r="H67" s="15" t="n">
        <f aca="false">SUMIFS(Data!$V$2:$V$351,Data!$A$2:$A$351,H$3,Data!$C$2:$C$351,$A67)</f>
        <v>0</v>
      </c>
      <c r="I67" s="15" t="n">
        <f aca="false">SUMIFS(Data!$V$2:$V$351,Data!$A$2:$A$351,I$3,Data!$C$2:$C$351,$A67)</f>
        <v>0</v>
      </c>
      <c r="J67" s="15" t="n">
        <f aca="false">SUMIFS(Data!$V$2:$V$351,Data!$A$2:$A$351,J$3,Data!$C$2:$C$351,$A67)</f>
        <v>0</v>
      </c>
      <c r="K67" s="15" t="n">
        <f aca="false">J67-E67</f>
        <v>-234</v>
      </c>
      <c r="L67" s="15" t="n">
        <f aca="false">J67-I67</f>
        <v>0</v>
      </c>
      <c r="M67" s="17" t="str">
        <f aca="false">IF(I67&gt;0,L67/I67,"")</f>
        <v/>
      </c>
      <c r="N67" s="22" t="n">
        <f aca="false">J67/J$74</f>
        <v>0</v>
      </c>
      <c r="O67" s="15" t="n">
        <f aca="false">MAX(E67:J67)</f>
        <v>234</v>
      </c>
      <c r="P67" s="25" t="n">
        <f aca="false">INDEX($E$3:$J$3,MATCH(O67,E67:J67,0))</f>
        <v>2020</v>
      </c>
      <c r="Q67" s="15" t="n">
        <f aca="false">INDEX(E67:J67,MATCH(Explorer!$C$4,$E$3:$J$3,0))</f>
        <v>0</v>
      </c>
      <c r="R67" s="33" t="n">
        <f aca="false">Q67-ROW()/1000000</f>
        <v>-6.7E-005</v>
      </c>
      <c r="S67" s="25" t="n">
        <f aca="false">RANK(R67,$R$4:$R$73)</f>
        <v>64</v>
      </c>
    </row>
    <row r="68" customFormat="false" ht="15" hidden="false" customHeight="false" outlineLevel="0" collapsed="false">
      <c r="A68" s="9" t="s">
        <v>219</v>
      </c>
      <c r="B68" s="9" t="str">
        <f aca="false">INDEX(Lookups!$B$5:$B$75,MATCH($A68,Lookups!$A$5:$A$75,0))</f>
        <v>Israel</v>
      </c>
      <c r="C68" s="9" t="str">
        <f aca="false">INDEX(Lookups!$C$5:$C$75,MATCH($A68,Lookups!$A$5:$A$75,0))</f>
        <v>Other regions</v>
      </c>
      <c r="D68" s="9" t="str">
        <f aca="false">INDEX(Lookups!$D$5:$D$75,MATCH($A68,Lookups!$A$5:$A$75,0))</f>
        <v>Rest of world</v>
      </c>
      <c r="E68" s="15" t="n">
        <f aca="false">SUMIFS(Data!$V$2:$V$351,Data!$A$2:$A$351,E$3,Data!$C$2:$C$351,$A68)</f>
        <v>5</v>
      </c>
      <c r="F68" s="15" t="n">
        <f aca="false">SUMIFS(Data!$V$2:$V$351,Data!$A$2:$A$351,F$3,Data!$C$2:$C$351,$A68)</f>
        <v>5</v>
      </c>
      <c r="G68" s="15" t="n">
        <f aca="false">SUMIFS(Data!$V$2:$V$351,Data!$A$2:$A$351,G$3,Data!$C$2:$C$351,$A68)</f>
        <v>0</v>
      </c>
      <c r="H68" s="15" t="n">
        <f aca="false">SUMIFS(Data!$V$2:$V$351,Data!$A$2:$A$351,H$3,Data!$C$2:$C$351,$A68)</f>
        <v>0</v>
      </c>
      <c r="I68" s="15" t="n">
        <f aca="false">SUMIFS(Data!$V$2:$V$351,Data!$A$2:$A$351,I$3,Data!$C$2:$C$351,$A68)</f>
        <v>0</v>
      </c>
      <c r="J68" s="15" t="n">
        <f aca="false">SUMIFS(Data!$V$2:$V$351,Data!$A$2:$A$351,J$3,Data!$C$2:$C$351,$A68)</f>
        <v>0</v>
      </c>
      <c r="K68" s="15" t="n">
        <f aca="false">J68-E68</f>
        <v>-5</v>
      </c>
      <c r="L68" s="15" t="n">
        <f aca="false">J68-I68</f>
        <v>0</v>
      </c>
      <c r="M68" s="17" t="str">
        <f aca="false">IF(I68&gt;0,L68/I68,"")</f>
        <v/>
      </c>
      <c r="N68" s="22" t="n">
        <f aca="false">J68/J$74</f>
        <v>0</v>
      </c>
      <c r="O68" s="15" t="n">
        <f aca="false">MAX(E68:J68)</f>
        <v>5</v>
      </c>
      <c r="P68" s="25" t="n">
        <f aca="false">INDEX($E$3:$J$3,MATCH(O68,E68:J68,0))</f>
        <v>2020</v>
      </c>
      <c r="Q68" s="15" t="n">
        <f aca="false">INDEX(E68:J68,MATCH(Explorer!$C$4,$E$3:$J$3,0))</f>
        <v>0</v>
      </c>
      <c r="R68" s="33" t="n">
        <f aca="false">Q68-ROW()/1000000</f>
        <v>-6.8E-005</v>
      </c>
      <c r="S68" s="25" t="n">
        <f aca="false">RANK(R68,$R$4:$R$73)</f>
        <v>65</v>
      </c>
    </row>
    <row r="69" customFormat="false" ht="15" hidden="false" customHeight="false" outlineLevel="0" collapsed="false">
      <c r="A69" s="9" t="s">
        <v>220</v>
      </c>
      <c r="B69" s="9" t="str">
        <f aca="false">INDEX(Lookups!$B$5:$B$75,MATCH($A69,Lookups!$A$5:$A$75,0))</f>
        <v>Indonesia</v>
      </c>
      <c r="C69" s="9" t="str">
        <f aca="false">INDEX(Lookups!$C$5:$C$75,MATCH($A69,Lookups!$A$5:$A$75,0))</f>
        <v>Other regions</v>
      </c>
      <c r="D69" s="9" t="str">
        <f aca="false">INDEX(Lookups!$D$5:$D$75,MATCH($A69,Lookups!$A$5:$A$75,0))</f>
        <v>Rest of world</v>
      </c>
      <c r="E69" s="15" t="n">
        <f aca="false">SUMIFS(Data!$V$2:$V$351,Data!$A$2:$A$351,E$3,Data!$C$2:$C$351,$A69)</f>
        <v>5</v>
      </c>
      <c r="F69" s="15" t="n">
        <f aca="false">SUMIFS(Data!$V$2:$V$351,Data!$A$2:$A$351,F$3,Data!$C$2:$C$351,$A69)</f>
        <v>5</v>
      </c>
      <c r="G69" s="15" t="n">
        <f aca="false">SUMIFS(Data!$V$2:$V$351,Data!$A$2:$A$351,G$3,Data!$C$2:$C$351,$A69)</f>
        <v>5</v>
      </c>
      <c r="H69" s="15" t="n">
        <f aca="false">SUMIFS(Data!$V$2:$V$351,Data!$A$2:$A$351,H$3,Data!$C$2:$C$351,$A69)</f>
        <v>5</v>
      </c>
      <c r="I69" s="15" t="n">
        <f aca="false">SUMIFS(Data!$V$2:$V$351,Data!$A$2:$A$351,I$3,Data!$C$2:$C$351,$A69)</f>
        <v>0</v>
      </c>
      <c r="J69" s="15" t="n">
        <f aca="false">SUMIFS(Data!$V$2:$V$351,Data!$A$2:$A$351,J$3,Data!$C$2:$C$351,$A69)</f>
        <v>0</v>
      </c>
      <c r="K69" s="15" t="n">
        <f aca="false">J69-E69</f>
        <v>-5</v>
      </c>
      <c r="L69" s="15" t="n">
        <f aca="false">J69-I69</f>
        <v>0</v>
      </c>
      <c r="M69" s="17" t="str">
        <f aca="false">IF(I69&gt;0,L69/I69,"")</f>
        <v/>
      </c>
      <c r="N69" s="22" t="n">
        <f aca="false">J69/J$74</f>
        <v>0</v>
      </c>
      <c r="O69" s="15" t="n">
        <f aca="false">MAX(E69:J69)</f>
        <v>5</v>
      </c>
      <c r="P69" s="25" t="n">
        <f aca="false">INDEX($E$3:$J$3,MATCH(O69,E69:J69,0))</f>
        <v>2020</v>
      </c>
      <c r="Q69" s="15" t="n">
        <f aca="false">INDEX(E69:J69,MATCH(Explorer!$C$4,$E$3:$J$3,0))</f>
        <v>0</v>
      </c>
      <c r="R69" s="33" t="n">
        <f aca="false">Q69-ROW()/1000000</f>
        <v>-6.9E-005</v>
      </c>
      <c r="S69" s="25" t="n">
        <f aca="false">RANK(R69,$R$4:$R$73)</f>
        <v>66</v>
      </c>
    </row>
    <row r="70" customFormat="false" ht="15" hidden="false" customHeight="false" outlineLevel="0" collapsed="false">
      <c r="A70" s="9" t="s">
        <v>221</v>
      </c>
      <c r="B70" s="9" t="str">
        <f aca="false">INDEX(Lookups!$B$5:$B$75,MATCH($A70,Lookups!$A$5:$A$75,0))</f>
        <v>Jordan</v>
      </c>
      <c r="C70" s="9" t="str">
        <f aca="false">INDEX(Lookups!$C$5:$C$75,MATCH($A70,Lookups!$A$5:$A$75,0))</f>
        <v>Other regions</v>
      </c>
      <c r="D70" s="9" t="str">
        <f aca="false">INDEX(Lookups!$D$5:$D$75,MATCH($A70,Lookups!$A$5:$A$75,0))</f>
        <v>Rest of world</v>
      </c>
      <c r="E70" s="15" t="n">
        <f aca="false">SUMIFS(Data!$V$2:$V$351,Data!$A$2:$A$351,E$3,Data!$C$2:$C$351,$A70)</f>
        <v>5</v>
      </c>
      <c r="F70" s="15" t="n">
        <f aca="false">SUMIFS(Data!$V$2:$V$351,Data!$A$2:$A$351,F$3,Data!$C$2:$C$351,$A70)</f>
        <v>5</v>
      </c>
      <c r="G70" s="15" t="n">
        <f aca="false">SUMIFS(Data!$V$2:$V$351,Data!$A$2:$A$351,G$3,Data!$C$2:$C$351,$A70)</f>
        <v>5</v>
      </c>
      <c r="H70" s="15" t="n">
        <f aca="false">SUMIFS(Data!$V$2:$V$351,Data!$A$2:$A$351,H$3,Data!$C$2:$C$351,$A70)</f>
        <v>0</v>
      </c>
      <c r="I70" s="15" t="n">
        <f aca="false">SUMIFS(Data!$V$2:$V$351,Data!$A$2:$A$351,I$3,Data!$C$2:$C$351,$A70)</f>
        <v>0</v>
      </c>
      <c r="J70" s="15" t="n">
        <f aca="false">SUMIFS(Data!$V$2:$V$351,Data!$A$2:$A$351,J$3,Data!$C$2:$C$351,$A70)</f>
        <v>0</v>
      </c>
      <c r="K70" s="15" t="n">
        <f aca="false">J70-E70</f>
        <v>-5</v>
      </c>
      <c r="L70" s="15" t="n">
        <f aca="false">J70-I70</f>
        <v>0</v>
      </c>
      <c r="M70" s="17" t="str">
        <f aca="false">IF(I70&gt;0,L70/I70,"")</f>
        <v/>
      </c>
      <c r="N70" s="22" t="n">
        <f aca="false">J70/J$74</f>
        <v>0</v>
      </c>
      <c r="O70" s="15" t="n">
        <f aca="false">MAX(E70:J70)</f>
        <v>5</v>
      </c>
      <c r="P70" s="25" t="n">
        <f aca="false">INDEX($E$3:$J$3,MATCH(O70,E70:J70,0))</f>
        <v>2020</v>
      </c>
      <c r="Q70" s="15" t="n">
        <f aca="false">INDEX(E70:J70,MATCH(Explorer!$C$4,$E$3:$J$3,0))</f>
        <v>0</v>
      </c>
      <c r="R70" s="33" t="n">
        <f aca="false">Q70-ROW()/1000000</f>
        <v>-7E-005</v>
      </c>
      <c r="S70" s="25" t="n">
        <f aca="false">RANK(R70,$R$4:$R$73)</f>
        <v>67</v>
      </c>
    </row>
    <row r="71" customFormat="false" ht="15" hidden="false" customHeight="false" outlineLevel="0" collapsed="false">
      <c r="A71" s="9" t="s">
        <v>222</v>
      </c>
      <c r="B71" s="9" t="str">
        <f aca="false">INDEX(Lookups!$B$5:$B$75,MATCH($A71,Lookups!$A$5:$A$75,0))</f>
        <v>Kyrgyzstan</v>
      </c>
      <c r="C71" s="9" t="str">
        <f aca="false">INDEX(Lookups!$C$5:$C$75,MATCH($A71,Lookups!$A$5:$A$75,0))</f>
        <v>Other regions</v>
      </c>
      <c r="D71" s="9" t="str">
        <f aca="false">INDEX(Lookups!$D$5:$D$75,MATCH($A71,Lookups!$A$5:$A$75,0))</f>
        <v>Rest of world</v>
      </c>
      <c r="E71" s="15" t="n">
        <f aca="false">SUMIFS(Data!$V$2:$V$351,Data!$A$2:$A$351,E$3,Data!$C$2:$C$351,$A71)</f>
        <v>0</v>
      </c>
      <c r="F71" s="15" t="n">
        <f aca="false">SUMIFS(Data!$V$2:$V$351,Data!$A$2:$A$351,F$3,Data!$C$2:$C$351,$A71)</f>
        <v>5</v>
      </c>
      <c r="G71" s="15" t="n">
        <f aca="false">SUMIFS(Data!$V$2:$V$351,Data!$A$2:$A$351,G$3,Data!$C$2:$C$351,$A71)</f>
        <v>5</v>
      </c>
      <c r="H71" s="15" t="n">
        <f aca="false">SUMIFS(Data!$V$2:$V$351,Data!$A$2:$A$351,H$3,Data!$C$2:$C$351,$A71)</f>
        <v>0</v>
      </c>
      <c r="I71" s="15" t="n">
        <f aca="false">SUMIFS(Data!$V$2:$V$351,Data!$A$2:$A$351,I$3,Data!$C$2:$C$351,$A71)</f>
        <v>0</v>
      </c>
      <c r="J71" s="15" t="n">
        <f aca="false">SUMIFS(Data!$V$2:$V$351,Data!$A$2:$A$351,J$3,Data!$C$2:$C$351,$A71)</f>
        <v>0</v>
      </c>
      <c r="K71" s="15" t="n">
        <f aca="false">J71-E71</f>
        <v>0</v>
      </c>
      <c r="L71" s="15" t="n">
        <f aca="false">J71-I71</f>
        <v>0</v>
      </c>
      <c r="M71" s="17" t="str">
        <f aca="false">IF(I71&gt;0,L71/I71,"")</f>
        <v/>
      </c>
      <c r="N71" s="22" t="n">
        <f aca="false">J71/J$74</f>
        <v>0</v>
      </c>
      <c r="O71" s="15" t="n">
        <f aca="false">MAX(E71:J71)</f>
        <v>5</v>
      </c>
      <c r="P71" s="25" t="n">
        <f aca="false">INDEX($E$3:$J$3,MATCH(O71,E71:J71,0))</f>
        <v>2021</v>
      </c>
      <c r="Q71" s="15" t="n">
        <f aca="false">INDEX(E71:J71,MATCH(Explorer!$C$4,$E$3:$J$3,0))</f>
        <v>0</v>
      </c>
      <c r="R71" s="33" t="n">
        <f aca="false">Q71-ROW()/1000000</f>
        <v>-7.1E-005</v>
      </c>
      <c r="S71" s="25" t="n">
        <f aca="false">RANK(R71,$R$4:$R$73)</f>
        <v>68</v>
      </c>
    </row>
    <row r="72" customFormat="false" ht="15" hidden="false" customHeight="false" outlineLevel="0" collapsed="false">
      <c r="A72" s="9" t="s">
        <v>223</v>
      </c>
      <c r="B72" s="9" t="str">
        <f aca="false">INDEX(Lookups!$B$5:$B$75,MATCH($A72,Lookups!$A$5:$A$75,0))</f>
        <v>Lebanon</v>
      </c>
      <c r="C72" s="9" t="str">
        <f aca="false">INDEX(Lookups!$C$5:$C$75,MATCH($A72,Lookups!$A$5:$A$75,0))</f>
        <v>Other regions</v>
      </c>
      <c r="D72" s="9" t="str">
        <f aca="false">INDEX(Lookups!$D$5:$D$75,MATCH($A72,Lookups!$A$5:$A$75,0))</f>
        <v>Rest of world</v>
      </c>
      <c r="E72" s="15" t="n">
        <f aca="false">SUMIFS(Data!$V$2:$V$351,Data!$A$2:$A$351,E$3,Data!$C$2:$C$351,$A72)</f>
        <v>5</v>
      </c>
      <c r="F72" s="15" t="n">
        <f aca="false">SUMIFS(Data!$V$2:$V$351,Data!$A$2:$A$351,F$3,Data!$C$2:$C$351,$A72)</f>
        <v>5</v>
      </c>
      <c r="G72" s="15" t="n">
        <f aca="false">SUMIFS(Data!$V$2:$V$351,Data!$A$2:$A$351,G$3,Data!$C$2:$C$351,$A72)</f>
        <v>0</v>
      </c>
      <c r="H72" s="15" t="n">
        <f aca="false">SUMIFS(Data!$V$2:$V$351,Data!$A$2:$A$351,H$3,Data!$C$2:$C$351,$A72)</f>
        <v>0</v>
      </c>
      <c r="I72" s="15" t="n">
        <f aca="false">SUMIFS(Data!$V$2:$V$351,Data!$A$2:$A$351,I$3,Data!$C$2:$C$351,$A72)</f>
        <v>0</v>
      </c>
      <c r="J72" s="15" t="n">
        <f aca="false">SUMIFS(Data!$V$2:$V$351,Data!$A$2:$A$351,J$3,Data!$C$2:$C$351,$A72)</f>
        <v>0</v>
      </c>
      <c r="K72" s="15" t="n">
        <f aca="false">J72-E72</f>
        <v>-5</v>
      </c>
      <c r="L72" s="15" t="n">
        <f aca="false">J72-I72</f>
        <v>0</v>
      </c>
      <c r="M72" s="17" t="str">
        <f aca="false">IF(I72&gt;0,L72/I72,"")</f>
        <v/>
      </c>
      <c r="N72" s="22" t="n">
        <f aca="false">J72/J$74</f>
        <v>0</v>
      </c>
      <c r="O72" s="15" t="n">
        <f aca="false">MAX(E72:J72)</f>
        <v>5</v>
      </c>
      <c r="P72" s="25" t="n">
        <f aca="false">INDEX($E$3:$J$3,MATCH(O72,E72:J72,0))</f>
        <v>2020</v>
      </c>
      <c r="Q72" s="15" t="n">
        <f aca="false">INDEX(E72:J72,MATCH(Explorer!$C$4,$E$3:$J$3,0))</f>
        <v>0</v>
      </c>
      <c r="R72" s="33" t="n">
        <f aca="false">Q72-ROW()/1000000</f>
        <v>-7.2E-005</v>
      </c>
      <c r="S72" s="25" t="n">
        <f aca="false">RANK(R72,$R$4:$R$73)</f>
        <v>69</v>
      </c>
    </row>
    <row r="73" customFormat="false" ht="15" hidden="false" customHeight="false" outlineLevel="0" collapsed="false">
      <c r="A73" s="9" t="s">
        <v>224</v>
      </c>
      <c r="B73" s="9" t="str">
        <f aca="false">INDEX(Lookups!$B$5:$B$75,MATCH($A73,Lookups!$A$5:$A$75,0))</f>
        <v>South Korea</v>
      </c>
      <c r="C73" s="9" t="str">
        <f aca="false">INDEX(Lookups!$C$5:$C$75,MATCH($A73,Lookups!$A$5:$A$75,0))</f>
        <v>Other regions</v>
      </c>
      <c r="D73" s="9" t="str">
        <f aca="false">INDEX(Lookups!$D$5:$D$75,MATCH($A73,Lookups!$A$5:$A$75,0))</f>
        <v>Rest of world</v>
      </c>
      <c r="E73" s="15" t="n">
        <f aca="false">SUMIFS(Data!$V$2:$V$351,Data!$A$2:$A$351,E$3,Data!$C$2:$C$351,$A73)</f>
        <v>11</v>
      </c>
      <c r="F73" s="15" t="n">
        <f aca="false">SUMIFS(Data!$V$2:$V$351,Data!$A$2:$A$351,F$3,Data!$C$2:$C$351,$A73)</f>
        <v>12</v>
      </c>
      <c r="G73" s="15" t="n">
        <f aca="false">SUMIFS(Data!$V$2:$V$351,Data!$A$2:$A$351,G$3,Data!$C$2:$C$351,$A73)</f>
        <v>0</v>
      </c>
      <c r="H73" s="15" t="n">
        <f aca="false">SUMIFS(Data!$V$2:$V$351,Data!$A$2:$A$351,H$3,Data!$C$2:$C$351,$A73)</f>
        <v>0</v>
      </c>
      <c r="I73" s="15" t="n">
        <f aca="false">SUMIFS(Data!$V$2:$V$351,Data!$A$2:$A$351,I$3,Data!$C$2:$C$351,$A73)</f>
        <v>0</v>
      </c>
      <c r="J73" s="15" t="n">
        <f aca="false">SUMIFS(Data!$V$2:$V$351,Data!$A$2:$A$351,J$3,Data!$C$2:$C$351,$A73)</f>
        <v>0</v>
      </c>
      <c r="K73" s="15" t="n">
        <f aca="false">J73-E73</f>
        <v>-11</v>
      </c>
      <c r="L73" s="15" t="n">
        <f aca="false">J73-I73</f>
        <v>0</v>
      </c>
      <c r="M73" s="17" t="str">
        <f aca="false">IF(I73&gt;0,L73/I73,"")</f>
        <v/>
      </c>
      <c r="N73" s="22" t="n">
        <f aca="false">J73/J$74</f>
        <v>0</v>
      </c>
      <c r="O73" s="15" t="n">
        <f aca="false">MAX(E73:J73)</f>
        <v>12</v>
      </c>
      <c r="P73" s="25" t="n">
        <f aca="false">INDEX($E$3:$J$3,MATCH(O73,E73:J73,0))</f>
        <v>2021</v>
      </c>
      <c r="Q73" s="15" t="n">
        <f aca="false">INDEX(E73:J73,MATCH(Explorer!$C$4,$E$3:$J$3,0))</f>
        <v>0</v>
      </c>
      <c r="R73" s="33" t="n">
        <f aca="false">Q73-ROW()/1000000</f>
        <v>-7.3E-005</v>
      </c>
      <c r="S73" s="25" t="n">
        <f aca="false">RANK(R73,$R$4:$R$73)</f>
        <v>70</v>
      </c>
    </row>
    <row r="74" customFormat="false" ht="15" hidden="false" customHeight="false" outlineLevel="0" collapsed="false">
      <c r="A74" s="18"/>
      <c r="B74" s="18" t="s">
        <v>86</v>
      </c>
      <c r="C74" s="18"/>
      <c r="D74" s="18"/>
      <c r="E74" s="19" t="n">
        <f aca="false">SUM(E4:E73)</f>
        <v>4884479</v>
      </c>
      <c r="F74" s="19" t="n">
        <f aca="false">SUM(F4:F73)</f>
        <v>5576740</v>
      </c>
      <c r="G74" s="19" t="n">
        <f aca="false">SUM(G4:G73)</f>
        <v>6766541</v>
      </c>
      <c r="H74" s="19" t="n">
        <f aca="false">SUM(H4:H73)</f>
        <v>7389912</v>
      </c>
      <c r="I74" s="19" t="n">
        <f aca="false">SUM(I4:I73)</f>
        <v>7826093</v>
      </c>
      <c r="J74" s="19" t="n">
        <f aca="false">SUM(J4:J73)</f>
        <v>7682752</v>
      </c>
      <c r="K74" s="19" t="n">
        <f aca="false">SUM(K4:K73)</f>
        <v>2798273</v>
      </c>
      <c r="L74" s="19" t="n">
        <f aca="false">SUM(L4:L73)</f>
        <v>-143341</v>
      </c>
      <c r="M74" s="21" t="n">
        <f aca="false">L74/I74</f>
        <v>-0.0183157803005919</v>
      </c>
      <c r="N74" s="34" t="n">
        <f aca="false">SUM(N4:N73)</f>
        <v>1</v>
      </c>
      <c r="O74" s="19"/>
      <c r="P74" s="35"/>
      <c r="Q74" s="19" t="n">
        <f aca="false">SUM(Q4:Q73)</f>
        <v>7682752</v>
      </c>
      <c r="R74" s="36"/>
      <c r="S74" s="35"/>
    </row>
  </sheetData>
  <autoFilter ref="A3:S7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8D6"/>
    <pageSetUpPr fitToPage="false"/>
  </sheetPr>
  <dimension ref="A1:Y3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 topLeftCell="D2" activePane="bottomRight" state="frozen"/>
      <selection pane="topLeft" activeCell="A1" activeCellId="0" sqref="A1"/>
      <selection pane="topRight" activeCell="D1" activeCellId="0" sqref="D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8"/>
    <col collapsed="false" customWidth="true" hidden="false" outlineLevel="0" max="3" min="3" style="0" width="6"/>
    <col collapsed="false" customWidth="true" hidden="false" outlineLevel="0" max="5" min="4" style="0" width="26"/>
    <col collapsed="false" customWidth="true" hidden="false" outlineLevel="0" max="6" min="6" style="0" width="14"/>
    <col collapsed="false" customWidth="true" hidden="false" outlineLevel="0" max="7" min="7" style="0" width="16"/>
    <col collapsed="false" customWidth="true" hidden="false" outlineLevel="0" max="21" min="8" style="0" width="10"/>
    <col collapsed="false" customWidth="true" hidden="false" outlineLevel="0" max="22" min="22" style="0" width="12"/>
    <col collapsed="false" customWidth="true" hidden="false" outlineLevel="0" max="24" min="23" style="0" width="14"/>
    <col collapsed="false" customWidth="true" hidden="false" outlineLevel="0" max="25" min="25" style="0" width="80"/>
  </cols>
  <sheetData>
    <row r="1" customFormat="false" ht="42" hidden="false" customHeight="true" outlineLevel="0" collapsed="false">
      <c r="A1" s="8" t="s">
        <v>99</v>
      </c>
      <c r="B1" s="8" t="s">
        <v>225</v>
      </c>
      <c r="C1" s="8" t="s">
        <v>144</v>
      </c>
      <c r="D1" s="8" t="s">
        <v>145</v>
      </c>
      <c r="E1" s="8" t="s">
        <v>75</v>
      </c>
      <c r="F1" s="8" t="s">
        <v>226</v>
      </c>
      <c r="G1" s="8" t="s">
        <v>227</v>
      </c>
      <c r="H1" s="8" t="s">
        <v>228</v>
      </c>
      <c r="I1" s="8" t="s">
        <v>229</v>
      </c>
      <c r="J1" s="8" t="s">
        <v>230</v>
      </c>
      <c r="K1" s="8" t="s">
        <v>231</v>
      </c>
      <c r="L1" s="8" t="s">
        <v>232</v>
      </c>
      <c r="M1" s="8" t="s">
        <v>233</v>
      </c>
      <c r="N1" s="8" t="s">
        <v>234</v>
      </c>
      <c r="O1" s="8" t="s">
        <v>235</v>
      </c>
      <c r="P1" s="8" t="s">
        <v>236</v>
      </c>
      <c r="Q1" s="8" t="s">
        <v>237</v>
      </c>
      <c r="R1" s="8" t="s">
        <v>238</v>
      </c>
      <c r="S1" s="8" t="s">
        <v>239</v>
      </c>
      <c r="T1" s="8" t="s">
        <v>240</v>
      </c>
      <c r="U1" s="8" t="s">
        <v>241</v>
      </c>
      <c r="V1" s="8" t="s">
        <v>114</v>
      </c>
      <c r="W1" s="8" t="s">
        <v>242</v>
      </c>
      <c r="X1" s="8" t="s">
        <v>243</v>
      </c>
      <c r="Y1" s="8" t="s">
        <v>244</v>
      </c>
    </row>
    <row r="2" customFormat="false" ht="15" hidden="false" customHeight="false" outlineLevel="0" collapsed="false">
      <c r="A2" s="25" t="n">
        <v>2020</v>
      </c>
      <c r="B2" s="9" t="s">
        <v>245</v>
      </c>
      <c r="C2" s="9" t="s">
        <v>204</v>
      </c>
      <c r="D2" s="9" t="str">
        <f aca="false">INDEX(Lookups!$C$5:$C$75,MATCH($C2,Lookups!$A$5:$A$75,0))</f>
        <v>Europe</v>
      </c>
      <c r="E2" s="9" t="str">
        <f aca="false">INDEX(Lookups!$D$5:$D$75,MATCH($C2,Lookups!$A$5:$A$75,0))</f>
        <v>Europe</v>
      </c>
      <c r="F2" s="9" t="str">
        <f aca="false">IF($D2="Latin America &amp; Caribbean","Yes","No")</f>
        <v>No</v>
      </c>
      <c r="G2" s="9" t="str">
        <f aca="false">IF($C2="VEN","In-country record","Abroad")</f>
        <v>Abroad</v>
      </c>
      <c r="H2" s="24" t="n">
        <v>0</v>
      </c>
      <c r="I2" s="24" t="n">
        <v>0</v>
      </c>
      <c r="J2" s="24" t="n">
        <v>5</v>
      </c>
      <c r="K2" s="24" t="n">
        <v>0</v>
      </c>
      <c r="L2" s="24" t="n">
        <v>0</v>
      </c>
      <c r="M2" s="24" t="n">
        <v>0</v>
      </c>
      <c r="N2" s="24" t="n">
        <v>5</v>
      </c>
      <c r="O2" s="24" t="n">
        <v>0</v>
      </c>
      <c r="P2" s="24" t="n">
        <v>0</v>
      </c>
      <c r="Q2" s="24" t="n">
        <v>0</v>
      </c>
      <c r="R2" s="24" t="n">
        <v>0</v>
      </c>
      <c r="S2" s="24" t="n">
        <v>0</v>
      </c>
      <c r="T2" s="24" t="n">
        <v>0</v>
      </c>
      <c r="U2" s="24" t="n">
        <v>0</v>
      </c>
      <c r="V2" s="24" t="n">
        <v>5</v>
      </c>
      <c r="W2" s="24" t="n">
        <f aca="false">N2+U2</f>
        <v>5</v>
      </c>
      <c r="X2" s="32" t="n">
        <f aca="false">IF(V2&gt;0,W2/V2,0)</f>
        <v>1</v>
      </c>
      <c r="Y2" s="9"/>
    </row>
    <row r="3" customFormat="false" ht="15" hidden="false" customHeight="false" outlineLevel="0" collapsed="false">
      <c r="A3" s="25" t="n">
        <v>2020</v>
      </c>
      <c r="B3" s="9" t="s">
        <v>246</v>
      </c>
      <c r="C3" s="9" t="s">
        <v>211</v>
      </c>
      <c r="D3" s="9" t="str">
        <f aca="false">INDEX(Lookups!$C$5:$C$75,MATCH($C3,Lookups!$A$5:$A$75,0))</f>
        <v>Latin America &amp; Caribbean</v>
      </c>
      <c r="E3" s="9" t="str">
        <f aca="false">INDEX(Lookups!$D$5:$D$75,MATCH($C3,Lookups!$A$5:$A$75,0))</f>
        <v>Caribbean &amp; Guianas</v>
      </c>
      <c r="F3" s="9" t="str">
        <f aca="false">IF($D3="Latin America &amp; Caribbean","Yes","No")</f>
        <v>Yes</v>
      </c>
      <c r="G3" s="9" t="str">
        <f aca="false">IF($C3="VEN","In-country record","Abroad")</f>
        <v>Abroad</v>
      </c>
      <c r="H3" s="24" t="n">
        <v>0</v>
      </c>
      <c r="I3" s="24" t="n">
        <v>0</v>
      </c>
      <c r="J3" s="24" t="n">
        <v>0</v>
      </c>
      <c r="K3" s="24" t="n">
        <v>0</v>
      </c>
      <c r="L3" s="24" t="n">
        <v>0</v>
      </c>
      <c r="M3" s="24" t="n">
        <v>0</v>
      </c>
      <c r="N3" s="24" t="n">
        <v>0</v>
      </c>
      <c r="O3" s="24" t="n">
        <v>0</v>
      </c>
      <c r="P3" s="24" t="n">
        <v>0</v>
      </c>
      <c r="Q3" s="24" t="n">
        <v>0</v>
      </c>
      <c r="R3" s="24" t="n">
        <v>0</v>
      </c>
      <c r="S3" s="24" t="n">
        <v>0</v>
      </c>
      <c r="T3" s="24" t="n">
        <v>0</v>
      </c>
      <c r="U3" s="24" t="n">
        <v>0</v>
      </c>
      <c r="V3" s="24" t="n">
        <v>21</v>
      </c>
      <c r="W3" s="24" t="n">
        <f aca="false">N3+U3</f>
        <v>0</v>
      </c>
      <c r="X3" s="32" t="n">
        <f aca="false">IF(V3&gt;0,W3/V3,0)</f>
        <v>0</v>
      </c>
      <c r="Y3" s="9"/>
    </row>
    <row r="4" customFormat="false" ht="15" hidden="false" customHeight="false" outlineLevel="0" collapsed="false">
      <c r="A4" s="25" t="n">
        <v>2020</v>
      </c>
      <c r="B4" s="9" t="s">
        <v>247</v>
      </c>
      <c r="C4" s="9" t="s">
        <v>162</v>
      </c>
      <c r="D4" s="9" t="str">
        <f aca="false">INDEX(Lookups!$C$5:$C$75,MATCH($C4,Lookups!$A$5:$A$75,0))</f>
        <v>Latin America &amp; Caribbean</v>
      </c>
      <c r="E4" s="9" t="str">
        <f aca="false">INDEX(Lookups!$D$5:$D$75,MATCH($C4,Lookups!$A$5:$A$75,0))</f>
        <v>Southern Cone &amp; Brazil</v>
      </c>
      <c r="F4" s="9" t="str">
        <f aca="false">IF($D4="Latin America &amp; Caribbean","Yes","No")</f>
        <v>Yes</v>
      </c>
      <c r="G4" s="9" t="str">
        <f aca="false">IF($C4="VEN","In-country record","Abroad")</f>
        <v>Abroad</v>
      </c>
      <c r="H4" s="24" t="n">
        <v>168</v>
      </c>
      <c r="I4" s="24" t="n">
        <v>230</v>
      </c>
      <c r="J4" s="24" t="n">
        <v>121</v>
      </c>
      <c r="K4" s="24" t="n">
        <v>1373</v>
      </c>
      <c r="L4" s="24" t="n">
        <v>95</v>
      </c>
      <c r="M4" s="24" t="n">
        <v>0</v>
      </c>
      <c r="N4" s="24" t="n">
        <v>1987</v>
      </c>
      <c r="O4" s="24" t="n">
        <v>207</v>
      </c>
      <c r="P4" s="24" t="n">
        <v>268</v>
      </c>
      <c r="Q4" s="24" t="n">
        <v>113</v>
      </c>
      <c r="R4" s="24" t="n">
        <v>1495</v>
      </c>
      <c r="S4" s="24" t="n">
        <v>60</v>
      </c>
      <c r="T4" s="24" t="n">
        <v>0</v>
      </c>
      <c r="U4" s="24" t="n">
        <v>2143</v>
      </c>
      <c r="V4" s="24" t="n">
        <v>175797</v>
      </c>
      <c r="W4" s="24" t="n">
        <f aca="false">N4+U4</f>
        <v>4130</v>
      </c>
      <c r="X4" s="32" t="n">
        <f aca="false">IF(V4&gt;0,W4/V4,0)</f>
        <v>0.0234930061377612</v>
      </c>
      <c r="Y4" s="9" t="s">
        <v>248</v>
      </c>
    </row>
    <row r="5" customFormat="false" ht="15" hidden="false" customHeight="false" outlineLevel="0" collapsed="false">
      <c r="A5" s="25" t="n">
        <v>2020</v>
      </c>
      <c r="B5" s="9" t="s">
        <v>249</v>
      </c>
      <c r="C5" s="9" t="s">
        <v>173</v>
      </c>
      <c r="D5" s="9" t="str">
        <f aca="false">INDEX(Lookups!$C$5:$C$75,MATCH($C5,Lookups!$A$5:$A$75,0))</f>
        <v>Latin America &amp; Caribbean</v>
      </c>
      <c r="E5" s="9" t="str">
        <f aca="false">INDEX(Lookups!$D$5:$D$75,MATCH($C5,Lookups!$A$5:$A$75,0))</f>
        <v>Caribbean &amp; Guianas</v>
      </c>
      <c r="F5" s="9" t="str">
        <f aca="false">IF($D5="Latin America &amp; Caribbean","Yes","No")</f>
        <v>Yes</v>
      </c>
      <c r="G5" s="9" t="str">
        <f aca="false">IF($C5="VEN","In-country record","Abroad")</f>
        <v>Abroad</v>
      </c>
      <c r="H5" s="24" t="n">
        <v>0</v>
      </c>
      <c r="I5" s="24" t="n">
        <v>0</v>
      </c>
      <c r="J5" s="24" t="n">
        <v>0</v>
      </c>
      <c r="K5" s="24" t="n">
        <v>0</v>
      </c>
      <c r="L5" s="24" t="n">
        <v>0</v>
      </c>
      <c r="M5" s="24" t="n">
        <v>0</v>
      </c>
      <c r="N5" s="24" t="n">
        <v>0</v>
      </c>
      <c r="O5" s="24" t="n">
        <v>0</v>
      </c>
      <c r="P5" s="24" t="n">
        <v>0</v>
      </c>
      <c r="Q5" s="24" t="n">
        <v>0</v>
      </c>
      <c r="R5" s="24" t="n">
        <v>0</v>
      </c>
      <c r="S5" s="24" t="n">
        <v>0</v>
      </c>
      <c r="T5" s="24" t="n">
        <v>0</v>
      </c>
      <c r="U5" s="24" t="n">
        <v>0</v>
      </c>
      <c r="V5" s="24" t="n">
        <v>17000</v>
      </c>
      <c r="W5" s="24" t="n">
        <f aca="false">N5+U5</f>
        <v>0</v>
      </c>
      <c r="X5" s="32" t="n">
        <f aca="false">IF(V5&gt;0,W5/V5,0)</f>
        <v>0</v>
      </c>
      <c r="Y5" s="9" t="s">
        <v>250</v>
      </c>
    </row>
    <row r="6" customFormat="false" ht="15" hidden="false" customHeight="false" outlineLevel="0" collapsed="false">
      <c r="A6" s="25" t="n">
        <v>2020</v>
      </c>
      <c r="B6" s="9" t="s">
        <v>251</v>
      </c>
      <c r="C6" s="9" t="s">
        <v>184</v>
      </c>
      <c r="D6" s="9" t="str">
        <f aca="false">INDEX(Lookups!$C$5:$C$75,MATCH($C6,Lookups!$A$5:$A$75,0))</f>
        <v>Other regions</v>
      </c>
      <c r="E6" s="9" t="str">
        <f aca="false">INDEX(Lookups!$D$5:$D$75,MATCH($C6,Lookups!$A$5:$A$75,0))</f>
        <v>Rest of world</v>
      </c>
      <c r="F6" s="9" t="str">
        <f aca="false">IF($D6="Latin America &amp; Caribbean","Yes","No")</f>
        <v>No</v>
      </c>
      <c r="G6" s="9" t="str">
        <f aca="false">IF($C6="VEN","In-country record","Abroad")</f>
        <v>Abroad</v>
      </c>
      <c r="H6" s="24" t="n">
        <v>0</v>
      </c>
      <c r="I6" s="24" t="n">
        <v>0</v>
      </c>
      <c r="J6" s="24" t="n">
        <v>0</v>
      </c>
      <c r="K6" s="24" t="n">
        <v>0</v>
      </c>
      <c r="L6" s="24" t="n">
        <v>0</v>
      </c>
      <c r="M6" s="24" t="n">
        <v>0</v>
      </c>
      <c r="N6" s="24" t="n">
        <v>0</v>
      </c>
      <c r="O6" s="24" t="n">
        <v>0</v>
      </c>
      <c r="P6" s="24" t="n">
        <v>0</v>
      </c>
      <c r="Q6" s="24" t="n">
        <v>0</v>
      </c>
      <c r="R6" s="24" t="n">
        <v>0</v>
      </c>
      <c r="S6" s="24" t="n">
        <v>0</v>
      </c>
      <c r="T6" s="24" t="n">
        <v>0</v>
      </c>
      <c r="U6" s="24" t="n">
        <v>0</v>
      </c>
      <c r="V6" s="24" t="n">
        <v>449</v>
      </c>
      <c r="W6" s="24" t="n">
        <f aca="false">N6+U6</f>
        <v>0</v>
      </c>
      <c r="X6" s="32" t="n">
        <f aca="false">IF(V6&gt;0,W6/V6,0)</f>
        <v>0</v>
      </c>
      <c r="Y6" s="9"/>
    </row>
    <row r="7" customFormat="false" ht="15" hidden="false" customHeight="false" outlineLevel="0" collapsed="false">
      <c r="A7" s="25" t="n">
        <v>2020</v>
      </c>
      <c r="B7" s="9" t="s">
        <v>252</v>
      </c>
      <c r="C7" s="9" t="s">
        <v>187</v>
      </c>
      <c r="D7" s="9" t="str">
        <f aca="false">INDEX(Lookups!$C$5:$C$75,MATCH($C7,Lookups!$A$5:$A$75,0))</f>
        <v>Europe</v>
      </c>
      <c r="E7" s="9" t="str">
        <f aca="false">INDEX(Lookups!$D$5:$D$75,MATCH($C7,Lookups!$A$5:$A$75,0))</f>
        <v>Europe</v>
      </c>
      <c r="F7" s="9" t="str">
        <f aca="false">IF($D7="Latin America &amp; Caribbean","Yes","No")</f>
        <v>No</v>
      </c>
      <c r="G7" s="9" t="str">
        <f aca="false">IF($C7="VEN","In-country record","Abroad")</f>
        <v>Abroad</v>
      </c>
      <c r="H7" s="24" t="n">
        <v>0</v>
      </c>
      <c r="I7" s="24" t="n">
        <v>0</v>
      </c>
      <c r="J7" s="24" t="n">
        <v>0</v>
      </c>
      <c r="K7" s="24" t="n">
        <v>0</v>
      </c>
      <c r="L7" s="24" t="n">
        <v>0</v>
      </c>
      <c r="M7" s="24" t="n">
        <v>17</v>
      </c>
      <c r="N7" s="24" t="n">
        <v>17</v>
      </c>
      <c r="O7" s="24" t="n">
        <v>0</v>
      </c>
      <c r="P7" s="24" t="n">
        <v>0</v>
      </c>
      <c r="Q7" s="24" t="n">
        <v>0</v>
      </c>
      <c r="R7" s="24" t="n">
        <v>0</v>
      </c>
      <c r="S7" s="24" t="n">
        <v>0</v>
      </c>
      <c r="T7" s="24" t="n">
        <v>17</v>
      </c>
      <c r="U7" s="24" t="n">
        <v>17</v>
      </c>
      <c r="V7" s="24" t="n">
        <v>95</v>
      </c>
      <c r="W7" s="24" t="n">
        <f aca="false">N7+U7</f>
        <v>34</v>
      </c>
      <c r="X7" s="32" t="n">
        <f aca="false">IF(V7&gt;0,W7/V7,0)</f>
        <v>0.357894736842105</v>
      </c>
      <c r="Y7" s="9"/>
    </row>
    <row r="8" customFormat="false" ht="15" hidden="false" customHeight="false" outlineLevel="0" collapsed="false">
      <c r="A8" s="25" t="n">
        <v>2020</v>
      </c>
      <c r="B8" s="9" t="s">
        <v>253</v>
      </c>
      <c r="C8" s="9" t="s">
        <v>210</v>
      </c>
      <c r="D8" s="9" t="str">
        <f aca="false">INDEX(Lookups!$C$5:$C$75,MATCH($C8,Lookups!$A$5:$A$75,0))</f>
        <v>Latin America &amp; Caribbean</v>
      </c>
      <c r="E8" s="9" t="str">
        <f aca="false">INDEX(Lookups!$D$5:$D$75,MATCH($C8,Lookups!$A$5:$A$75,0))</f>
        <v>Caribbean &amp; Guianas</v>
      </c>
      <c r="F8" s="9" t="str">
        <f aca="false">IF($D8="Latin America &amp; Caribbean","Yes","No")</f>
        <v>Yes</v>
      </c>
      <c r="G8" s="9" t="str">
        <f aca="false">IF($C8="VEN","In-country record","Abroad")</f>
        <v>Abroad</v>
      </c>
      <c r="H8" s="24" t="n">
        <v>0</v>
      </c>
      <c r="I8" s="24" t="n">
        <v>0</v>
      </c>
      <c r="J8" s="24" t="n">
        <v>0</v>
      </c>
      <c r="K8" s="24" t="n">
        <v>0</v>
      </c>
      <c r="L8" s="24" t="n">
        <v>0</v>
      </c>
      <c r="M8" s="24" t="n">
        <v>0</v>
      </c>
      <c r="N8" s="24" t="n">
        <v>0</v>
      </c>
      <c r="O8" s="24" t="n">
        <v>0</v>
      </c>
      <c r="P8" s="24" t="n">
        <v>0</v>
      </c>
      <c r="Q8" s="24" t="n">
        <v>0</v>
      </c>
      <c r="R8" s="24" t="n">
        <v>5</v>
      </c>
      <c r="S8" s="24" t="n">
        <v>0</v>
      </c>
      <c r="T8" s="24" t="n">
        <v>0</v>
      </c>
      <c r="U8" s="24" t="n">
        <v>5</v>
      </c>
      <c r="V8" s="24" t="n">
        <v>5</v>
      </c>
      <c r="W8" s="24" t="n">
        <f aca="false">N8+U8</f>
        <v>5</v>
      </c>
      <c r="X8" s="32" t="n">
        <f aca="false">IF(V8&gt;0,W8/V8,0)</f>
        <v>1</v>
      </c>
      <c r="Y8" s="9"/>
    </row>
    <row r="9" customFormat="false" ht="15" hidden="false" customHeight="false" outlineLevel="0" collapsed="false">
      <c r="A9" s="25" t="n">
        <v>2020</v>
      </c>
      <c r="B9" s="9" t="s">
        <v>254</v>
      </c>
      <c r="C9" s="9" t="s">
        <v>181</v>
      </c>
      <c r="D9" s="9" t="str">
        <f aca="false">INDEX(Lookups!$C$5:$C$75,MATCH($C9,Lookups!$A$5:$A$75,0))</f>
        <v>Europe</v>
      </c>
      <c r="E9" s="9" t="str">
        <f aca="false">INDEX(Lookups!$D$5:$D$75,MATCH($C9,Lookups!$A$5:$A$75,0))</f>
        <v>Europe</v>
      </c>
      <c r="F9" s="9" t="str">
        <f aca="false">IF($D9="Latin America &amp; Caribbean","Yes","No")</f>
        <v>No</v>
      </c>
      <c r="G9" s="9" t="str">
        <f aca="false">IF($C9="VEN","In-country record","Abroad")</f>
        <v>Abroad</v>
      </c>
      <c r="H9" s="24" t="n">
        <v>0</v>
      </c>
      <c r="I9" s="24" t="n">
        <v>0</v>
      </c>
      <c r="J9" s="24" t="n">
        <v>0</v>
      </c>
      <c r="K9" s="24" t="n">
        <v>0</v>
      </c>
      <c r="L9" s="24" t="n">
        <v>0</v>
      </c>
      <c r="M9" s="24" t="n">
        <v>465</v>
      </c>
      <c r="N9" s="24" t="n">
        <v>465</v>
      </c>
      <c r="O9" s="24" t="n">
        <v>0</v>
      </c>
      <c r="P9" s="24" t="n">
        <v>0</v>
      </c>
      <c r="Q9" s="24" t="n">
        <v>0</v>
      </c>
      <c r="R9" s="24" t="n">
        <v>0</v>
      </c>
      <c r="S9" s="24" t="n">
        <v>0</v>
      </c>
      <c r="T9" s="24" t="n">
        <v>439</v>
      </c>
      <c r="U9" s="24" t="n">
        <v>439</v>
      </c>
      <c r="V9" s="24" t="n">
        <v>904</v>
      </c>
      <c r="W9" s="24" t="n">
        <f aca="false">N9+U9</f>
        <v>904</v>
      </c>
      <c r="X9" s="32" t="n">
        <f aca="false">IF(V9&gt;0,W9/V9,0)</f>
        <v>1</v>
      </c>
      <c r="Y9" s="9"/>
    </row>
    <row r="10" customFormat="false" ht="15" hidden="false" customHeight="false" outlineLevel="0" collapsed="false">
      <c r="A10" s="25" t="n">
        <v>2020</v>
      </c>
      <c r="B10" s="9" t="s">
        <v>255</v>
      </c>
      <c r="C10" s="9" t="s">
        <v>171</v>
      </c>
      <c r="D10" s="9" t="str">
        <f aca="false">INDEX(Lookups!$C$5:$C$75,MATCH($C10,Lookups!$A$5:$A$75,0))</f>
        <v>Latin America &amp; Caribbean</v>
      </c>
      <c r="E10" s="9" t="str">
        <f aca="false">INDEX(Lookups!$D$5:$D$75,MATCH($C10,Lookups!$A$5:$A$75,0))</f>
        <v>Andean region</v>
      </c>
      <c r="F10" s="9" t="str">
        <f aca="false">IF($D10="Latin America &amp; Caribbean","Yes","No")</f>
        <v>Yes</v>
      </c>
      <c r="G10" s="9" t="str">
        <f aca="false">IF($C10="VEN","In-country record","Abroad")</f>
        <v>Abroad</v>
      </c>
      <c r="H10" s="24" t="n">
        <v>25</v>
      </c>
      <c r="I10" s="24" t="n">
        <v>38</v>
      </c>
      <c r="J10" s="24" t="n">
        <v>11</v>
      </c>
      <c r="K10" s="24" t="n">
        <v>119</v>
      </c>
      <c r="L10" s="24" t="n">
        <v>0</v>
      </c>
      <c r="M10" s="24" t="n">
        <v>0</v>
      </c>
      <c r="N10" s="24" t="n">
        <v>193</v>
      </c>
      <c r="O10" s="24" t="n">
        <v>29</v>
      </c>
      <c r="P10" s="24" t="n">
        <v>30</v>
      </c>
      <c r="Q10" s="24" t="n">
        <v>17</v>
      </c>
      <c r="R10" s="24" t="n">
        <v>125</v>
      </c>
      <c r="S10" s="24" t="n">
        <v>5</v>
      </c>
      <c r="T10" s="24" t="n">
        <v>0</v>
      </c>
      <c r="U10" s="24" t="n">
        <v>206</v>
      </c>
      <c r="V10" s="24" t="n">
        <v>9956</v>
      </c>
      <c r="W10" s="24" t="n">
        <f aca="false">N10+U10</f>
        <v>399</v>
      </c>
      <c r="X10" s="32" t="n">
        <f aca="false">IF(V10&gt;0,W10/V10,0)</f>
        <v>0.0400763358778626</v>
      </c>
      <c r="Y10" s="9" t="s">
        <v>248</v>
      </c>
    </row>
    <row r="11" customFormat="false" ht="15" hidden="false" customHeight="false" outlineLevel="0" collapsed="false">
      <c r="A11" s="25" t="n">
        <v>2020</v>
      </c>
      <c r="B11" s="9" t="s">
        <v>256</v>
      </c>
      <c r="C11" s="9" t="s">
        <v>157</v>
      </c>
      <c r="D11" s="9" t="str">
        <f aca="false">INDEX(Lookups!$C$5:$C$75,MATCH($C11,Lookups!$A$5:$A$75,0))</f>
        <v>Latin America &amp; Caribbean</v>
      </c>
      <c r="E11" s="9" t="str">
        <f aca="false">INDEX(Lookups!$D$5:$D$75,MATCH($C11,Lookups!$A$5:$A$75,0))</f>
        <v>Southern Cone &amp; Brazil</v>
      </c>
      <c r="F11" s="9" t="str">
        <f aca="false">IF($D11="Latin America &amp; Caribbean","Yes","No")</f>
        <v>Yes</v>
      </c>
      <c r="G11" s="9" t="str">
        <f aca="false">IF($C11="VEN","In-country record","Abroad")</f>
        <v>Abroad</v>
      </c>
      <c r="H11" s="24" t="n">
        <v>0</v>
      </c>
      <c r="I11" s="24" t="n">
        <v>0</v>
      </c>
      <c r="J11" s="24" t="n">
        <v>0</v>
      </c>
      <c r="K11" s="24" t="n">
        <v>0</v>
      </c>
      <c r="L11" s="24" t="n">
        <v>0</v>
      </c>
      <c r="M11" s="24" t="n">
        <v>0</v>
      </c>
      <c r="N11" s="24" t="n">
        <v>0</v>
      </c>
      <c r="O11" s="24" t="n">
        <v>0</v>
      </c>
      <c r="P11" s="24" t="n">
        <v>0</v>
      </c>
      <c r="Q11" s="24" t="n">
        <v>0</v>
      </c>
      <c r="R11" s="24" t="n">
        <v>0</v>
      </c>
      <c r="S11" s="24" t="n">
        <v>0</v>
      </c>
      <c r="T11" s="24" t="n">
        <v>0</v>
      </c>
      <c r="U11" s="24" t="n">
        <v>0</v>
      </c>
      <c r="V11" s="24" t="n">
        <v>301363</v>
      </c>
      <c r="W11" s="24" t="n">
        <f aca="false">N11+U11</f>
        <v>0</v>
      </c>
      <c r="X11" s="32" t="n">
        <f aca="false">IF(V11&gt;0,W11/V11,0)</f>
        <v>0</v>
      </c>
      <c r="Y11" s="9" t="s">
        <v>248</v>
      </c>
    </row>
    <row r="12" customFormat="false" ht="15" hidden="false" customHeight="false" outlineLevel="0" collapsed="false">
      <c r="A12" s="25" t="n">
        <v>2020</v>
      </c>
      <c r="B12" s="9" t="s">
        <v>257</v>
      </c>
      <c r="C12" s="9" t="s">
        <v>209</v>
      </c>
      <c r="D12" s="9" t="str">
        <f aca="false">INDEX(Lookups!$C$5:$C$75,MATCH($C12,Lookups!$A$5:$A$75,0))</f>
        <v>Europe</v>
      </c>
      <c r="E12" s="9" t="str">
        <f aca="false">INDEX(Lookups!$D$5:$D$75,MATCH($C12,Lookups!$A$5:$A$75,0))</f>
        <v>Europe</v>
      </c>
      <c r="F12" s="9" t="str">
        <f aca="false">IF($D12="Latin America &amp; Caribbean","Yes","No")</f>
        <v>No</v>
      </c>
      <c r="G12" s="9" t="str">
        <f aca="false">IF($C12="VEN","In-country record","Abroad")</f>
        <v>Abroad</v>
      </c>
      <c r="H12" s="24" t="n">
        <v>0</v>
      </c>
      <c r="I12" s="24" t="n">
        <v>0</v>
      </c>
      <c r="J12" s="24" t="n">
        <v>0</v>
      </c>
      <c r="K12" s="24" t="n">
        <v>0</v>
      </c>
      <c r="L12" s="24" t="n">
        <v>0</v>
      </c>
      <c r="M12" s="24" t="n">
        <v>0</v>
      </c>
      <c r="N12" s="24" t="n">
        <v>0</v>
      </c>
      <c r="O12" s="24" t="n">
        <v>0</v>
      </c>
      <c r="P12" s="24" t="n">
        <v>0</v>
      </c>
      <c r="Q12" s="24" t="n">
        <v>0</v>
      </c>
      <c r="R12" s="24" t="n">
        <v>0</v>
      </c>
      <c r="S12" s="24" t="n">
        <v>0</v>
      </c>
      <c r="T12" s="24" t="n">
        <v>5</v>
      </c>
      <c r="U12" s="24" t="n">
        <v>5</v>
      </c>
      <c r="V12" s="24" t="n">
        <v>5</v>
      </c>
      <c r="W12" s="24" t="n">
        <f aca="false">N12+U12</f>
        <v>5</v>
      </c>
      <c r="X12" s="32" t="n">
        <f aca="false">IF(V12&gt;0,W12/V12,0)</f>
        <v>1</v>
      </c>
      <c r="Y12" s="9"/>
    </row>
    <row r="13" customFormat="false" ht="15" hidden="false" customHeight="false" outlineLevel="0" collapsed="false">
      <c r="A13" s="25" t="n">
        <v>2020</v>
      </c>
      <c r="B13" s="9" t="s">
        <v>258</v>
      </c>
      <c r="C13" s="9" t="s">
        <v>176</v>
      </c>
      <c r="D13" s="9" t="str">
        <f aca="false">INDEX(Lookups!$C$5:$C$75,MATCH($C13,Lookups!$A$5:$A$75,0))</f>
        <v>North America</v>
      </c>
      <c r="E13" s="9" t="str">
        <f aca="false">INDEX(Lookups!$D$5:$D$75,MATCH($C13,Lookups!$A$5:$A$75,0))</f>
        <v>North America</v>
      </c>
      <c r="F13" s="9" t="str">
        <f aca="false">IF($D13="Latin America &amp; Caribbean","Yes","No")</f>
        <v>No</v>
      </c>
      <c r="G13" s="9" t="str">
        <f aca="false">IF($C13="VEN","In-country record","Abroad")</f>
        <v>Abroad</v>
      </c>
      <c r="H13" s="24" t="n">
        <v>23</v>
      </c>
      <c r="I13" s="24" t="n">
        <v>75</v>
      </c>
      <c r="J13" s="24" t="n">
        <v>39</v>
      </c>
      <c r="K13" s="24" t="n">
        <v>482</v>
      </c>
      <c r="L13" s="24" t="n">
        <v>76</v>
      </c>
      <c r="M13" s="24" t="n">
        <v>168</v>
      </c>
      <c r="N13" s="24" t="n">
        <v>863</v>
      </c>
      <c r="O13" s="24" t="n">
        <v>23</v>
      </c>
      <c r="P13" s="24" t="n">
        <v>79</v>
      </c>
      <c r="Q13" s="24" t="n">
        <v>29</v>
      </c>
      <c r="R13" s="24" t="n">
        <v>398</v>
      </c>
      <c r="S13" s="24" t="n">
        <v>109</v>
      </c>
      <c r="T13" s="24" t="n">
        <v>44</v>
      </c>
      <c r="U13" s="24" t="n">
        <v>682</v>
      </c>
      <c r="V13" s="24" t="n">
        <v>4524</v>
      </c>
      <c r="W13" s="24" t="n">
        <f aca="false">N13+U13</f>
        <v>1545</v>
      </c>
      <c r="X13" s="32" t="n">
        <f aca="false">IF(V13&gt;0,W13/V13,0)</f>
        <v>0.341511936339523</v>
      </c>
      <c r="Y13" s="9"/>
    </row>
    <row r="14" customFormat="false" ht="15" hidden="false" customHeight="false" outlineLevel="0" collapsed="false">
      <c r="A14" s="25" t="n">
        <v>2020</v>
      </c>
      <c r="B14" s="9" t="s">
        <v>259</v>
      </c>
      <c r="C14" s="9" t="s">
        <v>195</v>
      </c>
      <c r="D14" s="9" t="str">
        <f aca="false">INDEX(Lookups!$C$5:$C$75,MATCH($C14,Lookups!$A$5:$A$75,0))</f>
        <v>Latin America &amp; Caribbean</v>
      </c>
      <c r="E14" s="9" t="str">
        <f aca="false">INDEX(Lookups!$D$5:$D$75,MATCH($C14,Lookups!$A$5:$A$75,0))</f>
        <v>Caribbean &amp; Guianas</v>
      </c>
      <c r="F14" s="9" t="str">
        <f aca="false">IF($D14="Latin America &amp; Caribbean","Yes","No")</f>
        <v>Yes</v>
      </c>
      <c r="G14" s="9" t="str">
        <f aca="false">IF($C14="VEN","In-country record","Abroad")</f>
        <v>Abroad</v>
      </c>
      <c r="H14" s="24" t="n">
        <v>0</v>
      </c>
      <c r="I14" s="24" t="n">
        <v>0</v>
      </c>
      <c r="J14" s="24" t="n">
        <v>0</v>
      </c>
      <c r="K14" s="24" t="n">
        <v>0</v>
      </c>
      <c r="L14" s="24" t="n">
        <v>0</v>
      </c>
      <c r="M14" s="24" t="n">
        <v>0</v>
      </c>
      <c r="N14" s="24" t="n">
        <v>0</v>
      </c>
      <c r="O14" s="24" t="n">
        <v>0</v>
      </c>
      <c r="P14" s="24" t="n">
        <v>0</v>
      </c>
      <c r="Q14" s="24" t="n">
        <v>0</v>
      </c>
      <c r="R14" s="24" t="n">
        <v>0</v>
      </c>
      <c r="S14" s="24" t="n">
        <v>0</v>
      </c>
      <c r="T14" s="24" t="n">
        <v>0</v>
      </c>
      <c r="U14" s="24" t="n">
        <v>0</v>
      </c>
      <c r="V14" s="24" t="n">
        <v>39</v>
      </c>
      <c r="W14" s="24" t="n">
        <f aca="false">N14+U14</f>
        <v>0</v>
      </c>
      <c r="X14" s="32" t="n">
        <f aca="false">IF(V14&gt;0,W14/V14,0)</f>
        <v>0</v>
      </c>
      <c r="Y14" s="9"/>
    </row>
    <row r="15" customFormat="false" ht="15" hidden="false" customHeight="false" outlineLevel="0" collapsed="false">
      <c r="A15" s="25" t="n">
        <v>2020</v>
      </c>
      <c r="B15" s="9" t="s">
        <v>260</v>
      </c>
      <c r="C15" s="9" t="s">
        <v>158</v>
      </c>
      <c r="D15" s="9" t="str">
        <f aca="false">INDEX(Lookups!$C$5:$C$75,MATCH($C15,Lookups!$A$5:$A$75,0))</f>
        <v>Latin America &amp; Caribbean</v>
      </c>
      <c r="E15" s="9" t="str">
        <f aca="false">INDEX(Lookups!$D$5:$D$75,MATCH($C15,Lookups!$A$5:$A$75,0))</f>
        <v>Southern Cone &amp; Brazil</v>
      </c>
      <c r="F15" s="9" t="str">
        <f aca="false">IF($D15="Latin America &amp; Caribbean","Yes","No")</f>
        <v>Yes</v>
      </c>
      <c r="G15" s="9" t="str">
        <f aca="false">IF($C15="VEN","In-country record","Abroad")</f>
        <v>Abroad</v>
      </c>
      <c r="H15" s="24" t="n">
        <v>1563</v>
      </c>
      <c r="I15" s="24" t="n">
        <v>1615</v>
      </c>
      <c r="J15" s="24" t="n">
        <v>1011</v>
      </c>
      <c r="K15" s="24" t="n">
        <v>15737</v>
      </c>
      <c r="L15" s="24" t="n">
        <v>1368</v>
      </c>
      <c r="M15" s="24" t="n">
        <v>0</v>
      </c>
      <c r="N15" s="24" t="n">
        <v>21294</v>
      </c>
      <c r="O15" s="24" t="n">
        <v>1536</v>
      </c>
      <c r="P15" s="24" t="n">
        <v>1752</v>
      </c>
      <c r="Q15" s="24" t="n">
        <v>781</v>
      </c>
      <c r="R15" s="24" t="n">
        <v>10508</v>
      </c>
      <c r="S15" s="24" t="n">
        <v>1039</v>
      </c>
      <c r="T15" s="24" t="n">
        <v>0</v>
      </c>
      <c r="U15" s="24" t="n">
        <v>15616</v>
      </c>
      <c r="V15" s="24" t="n">
        <v>457324</v>
      </c>
      <c r="W15" s="24" t="n">
        <f aca="false">N15+U15</f>
        <v>36910</v>
      </c>
      <c r="X15" s="32" t="n">
        <f aca="false">IF(V15&gt;0,W15/V15,0)</f>
        <v>0.0807086441997359</v>
      </c>
      <c r="Y15" s="9" t="s">
        <v>248</v>
      </c>
    </row>
    <row r="16" customFormat="false" ht="15" hidden="false" customHeight="false" outlineLevel="0" collapsed="false">
      <c r="A16" s="25" t="n">
        <v>2020</v>
      </c>
      <c r="B16" s="9" t="s">
        <v>101</v>
      </c>
      <c r="C16" s="9" t="s">
        <v>155</v>
      </c>
      <c r="D16" s="9" t="str">
        <f aca="false">INDEX(Lookups!$C$5:$C$75,MATCH($C16,Lookups!$A$5:$A$75,0))</f>
        <v>Latin America &amp; Caribbean</v>
      </c>
      <c r="E16" s="9" t="str">
        <f aca="false">INDEX(Lookups!$D$5:$D$75,MATCH($C16,Lookups!$A$5:$A$75,0))</f>
        <v>Andean region</v>
      </c>
      <c r="F16" s="9" t="str">
        <f aca="false">IF($D16="Latin America &amp; Caribbean","Yes","No")</f>
        <v>Yes</v>
      </c>
      <c r="G16" s="9" t="str">
        <f aca="false">IF($C16="VEN","In-country record","Abroad")</f>
        <v>Abroad</v>
      </c>
      <c r="H16" s="24" t="n">
        <v>66360</v>
      </c>
      <c r="I16" s="24" t="n">
        <v>75198</v>
      </c>
      <c r="J16" s="24" t="n">
        <v>64526</v>
      </c>
      <c r="K16" s="24" t="n">
        <v>630292</v>
      </c>
      <c r="L16" s="24" t="n">
        <v>26282</v>
      </c>
      <c r="M16" s="24" t="n">
        <v>0</v>
      </c>
      <c r="N16" s="24" t="n">
        <v>862658</v>
      </c>
      <c r="O16" s="24" t="n">
        <v>65285</v>
      </c>
      <c r="P16" s="24" t="n">
        <v>74602</v>
      </c>
      <c r="Q16" s="24" t="n">
        <v>64054</v>
      </c>
      <c r="R16" s="24" t="n">
        <v>662773</v>
      </c>
      <c r="S16" s="24" t="n">
        <v>20523</v>
      </c>
      <c r="T16" s="24" t="n">
        <v>0</v>
      </c>
      <c r="U16" s="24" t="n">
        <v>887237</v>
      </c>
      <c r="V16" s="24" t="n">
        <v>1749895</v>
      </c>
      <c r="W16" s="24" t="n">
        <f aca="false">N16+U16</f>
        <v>1749895</v>
      </c>
      <c r="X16" s="32" t="n">
        <f aca="false">IF(V16&gt;0,W16/V16,0)</f>
        <v>1</v>
      </c>
      <c r="Y16" s="9"/>
    </row>
    <row r="17" customFormat="false" ht="15" hidden="false" customHeight="false" outlineLevel="0" collapsed="false">
      <c r="A17" s="25" t="n">
        <v>2020</v>
      </c>
      <c r="B17" s="9" t="s">
        <v>261</v>
      </c>
      <c r="C17" s="9" t="s">
        <v>166</v>
      </c>
      <c r="D17" s="9" t="str">
        <f aca="false">INDEX(Lookups!$C$5:$C$75,MATCH($C17,Lookups!$A$5:$A$75,0))</f>
        <v>Latin America &amp; Caribbean</v>
      </c>
      <c r="E17" s="9" t="str">
        <f aca="false">INDEX(Lookups!$D$5:$D$75,MATCH($C17,Lookups!$A$5:$A$75,0))</f>
        <v>Central America &amp; Mexico</v>
      </c>
      <c r="F17" s="9" t="str">
        <f aca="false">IF($D17="Latin America &amp; Caribbean","Yes","No")</f>
        <v>Yes</v>
      </c>
      <c r="G17" s="9" t="str">
        <f aca="false">IF($C17="VEN","In-country record","Abroad")</f>
        <v>Abroad</v>
      </c>
      <c r="H17" s="24" t="n">
        <v>0</v>
      </c>
      <c r="I17" s="24" t="n">
        <v>0</v>
      </c>
      <c r="J17" s="24" t="n">
        <v>0</v>
      </c>
      <c r="K17" s="24" t="n">
        <v>0</v>
      </c>
      <c r="L17" s="24" t="n">
        <v>0</v>
      </c>
      <c r="M17" s="24" t="n">
        <v>0</v>
      </c>
      <c r="N17" s="24" t="n">
        <v>0</v>
      </c>
      <c r="O17" s="24" t="n">
        <v>0</v>
      </c>
      <c r="P17" s="24" t="n">
        <v>0</v>
      </c>
      <c r="Q17" s="24" t="n">
        <v>0</v>
      </c>
      <c r="R17" s="24" t="n">
        <v>0</v>
      </c>
      <c r="S17" s="24" t="n">
        <v>0</v>
      </c>
      <c r="T17" s="24" t="n">
        <v>0</v>
      </c>
      <c r="U17" s="24" t="n">
        <v>0</v>
      </c>
      <c r="V17" s="24" t="n">
        <v>29089</v>
      </c>
      <c r="W17" s="24" t="n">
        <f aca="false">N17+U17</f>
        <v>0</v>
      </c>
      <c r="X17" s="32" t="n">
        <f aca="false">IF(V17&gt;0,W17/V17,0)</f>
        <v>0</v>
      </c>
      <c r="Y17" s="9" t="s">
        <v>248</v>
      </c>
    </row>
    <row r="18" customFormat="false" ht="15" hidden="false" customHeight="false" outlineLevel="0" collapsed="false">
      <c r="A18" s="25" t="n">
        <v>2020</v>
      </c>
      <c r="B18" s="9" t="s">
        <v>262</v>
      </c>
      <c r="C18" s="9" t="s">
        <v>177</v>
      </c>
      <c r="D18" s="9" t="str">
        <f aca="false">INDEX(Lookups!$C$5:$C$75,MATCH($C18,Lookups!$A$5:$A$75,0))</f>
        <v>Latin America &amp; Caribbean</v>
      </c>
      <c r="E18" s="9" t="str">
        <f aca="false">INDEX(Lookups!$D$5:$D$75,MATCH($C18,Lookups!$A$5:$A$75,0))</f>
        <v>Caribbean &amp; Guianas</v>
      </c>
      <c r="F18" s="9" t="str">
        <f aca="false">IF($D18="Latin America &amp; Caribbean","Yes","No")</f>
        <v>Yes</v>
      </c>
      <c r="G18" s="9" t="str">
        <f aca="false">IF($C18="VEN","In-country record","Abroad")</f>
        <v>Abroad</v>
      </c>
      <c r="H18" s="24" t="n">
        <v>0</v>
      </c>
      <c r="I18" s="24" t="n">
        <v>0</v>
      </c>
      <c r="J18" s="24" t="n">
        <v>0</v>
      </c>
      <c r="K18" s="24" t="n">
        <v>0</v>
      </c>
      <c r="L18" s="24" t="n">
        <v>0</v>
      </c>
      <c r="M18" s="24" t="n">
        <v>0</v>
      </c>
      <c r="N18" s="24" t="n">
        <v>0</v>
      </c>
      <c r="O18" s="24" t="n">
        <v>0</v>
      </c>
      <c r="P18" s="24" t="n">
        <v>0</v>
      </c>
      <c r="Q18" s="24" t="n">
        <v>0</v>
      </c>
      <c r="R18" s="24" t="n">
        <v>0</v>
      </c>
      <c r="S18" s="24" t="n">
        <v>0</v>
      </c>
      <c r="T18" s="24" t="n">
        <v>0</v>
      </c>
      <c r="U18" s="24" t="n">
        <v>0</v>
      </c>
      <c r="V18" s="24" t="n">
        <v>17000</v>
      </c>
      <c r="W18" s="24" t="n">
        <f aca="false">N18+U18</f>
        <v>0</v>
      </c>
      <c r="X18" s="32" t="n">
        <f aca="false">IF(V18&gt;0,W18/V18,0)</f>
        <v>0</v>
      </c>
      <c r="Y18" s="9" t="s">
        <v>250</v>
      </c>
    </row>
    <row r="19" customFormat="false" ht="15" hidden="false" customHeight="false" outlineLevel="0" collapsed="false">
      <c r="A19" s="25" t="n">
        <v>2020</v>
      </c>
      <c r="B19" s="9" t="s">
        <v>263</v>
      </c>
      <c r="C19" s="9" t="s">
        <v>200</v>
      </c>
      <c r="D19" s="9" t="str">
        <f aca="false">INDEX(Lookups!$C$5:$C$75,MATCH($C19,Lookups!$A$5:$A$75,0))</f>
        <v>Europe</v>
      </c>
      <c r="E19" s="9" t="str">
        <f aca="false">INDEX(Lookups!$D$5:$D$75,MATCH($C19,Lookups!$A$5:$A$75,0))</f>
        <v>Europe</v>
      </c>
      <c r="F19" s="9" t="str">
        <f aca="false">IF($D19="Latin America &amp; Caribbean","Yes","No")</f>
        <v>No</v>
      </c>
      <c r="G19" s="9" t="str">
        <f aca="false">IF($C19="VEN","In-country record","Abroad")</f>
        <v>Abroad</v>
      </c>
      <c r="H19" s="24" t="n">
        <v>0</v>
      </c>
      <c r="I19" s="24" t="n">
        <v>0</v>
      </c>
      <c r="J19" s="24" t="n">
        <v>0</v>
      </c>
      <c r="K19" s="24" t="n">
        <v>0</v>
      </c>
      <c r="L19" s="24" t="n">
        <v>0</v>
      </c>
      <c r="M19" s="24" t="n">
        <v>5</v>
      </c>
      <c r="N19" s="24" t="n">
        <v>5</v>
      </c>
      <c r="O19" s="24" t="n">
        <v>0</v>
      </c>
      <c r="P19" s="24" t="n">
        <v>0</v>
      </c>
      <c r="Q19" s="24" t="n">
        <v>0</v>
      </c>
      <c r="R19" s="24" t="n">
        <v>0</v>
      </c>
      <c r="S19" s="24" t="n">
        <v>0</v>
      </c>
      <c r="T19" s="24" t="n">
        <v>8</v>
      </c>
      <c r="U19" s="24" t="n">
        <v>8</v>
      </c>
      <c r="V19" s="24" t="n">
        <v>18</v>
      </c>
      <c r="W19" s="24" t="n">
        <f aca="false">N19+U19</f>
        <v>13</v>
      </c>
      <c r="X19" s="32" t="n">
        <f aca="false">IF(V19&gt;0,W19/V19,0)</f>
        <v>0.722222222222222</v>
      </c>
      <c r="Y19" s="9"/>
    </row>
    <row r="20" customFormat="false" ht="15" hidden="false" customHeight="false" outlineLevel="0" collapsed="false">
      <c r="A20" s="25" t="n">
        <v>2020</v>
      </c>
      <c r="B20" s="9" t="s">
        <v>264</v>
      </c>
      <c r="C20" s="9" t="s">
        <v>203</v>
      </c>
      <c r="D20" s="9" t="str">
        <f aca="false">INDEX(Lookups!$C$5:$C$75,MATCH($C20,Lookups!$A$5:$A$75,0))</f>
        <v>Europe</v>
      </c>
      <c r="E20" s="9" t="str">
        <f aca="false">INDEX(Lookups!$D$5:$D$75,MATCH($C20,Lookups!$A$5:$A$75,0))</f>
        <v>Europe</v>
      </c>
      <c r="F20" s="9" t="str">
        <f aca="false">IF($D20="Latin America &amp; Caribbean","Yes","No")</f>
        <v>No</v>
      </c>
      <c r="G20" s="9" t="str">
        <f aca="false">IF($C20="VEN","In-country record","Abroad")</f>
        <v>Abroad</v>
      </c>
      <c r="H20" s="24" t="n">
        <v>0</v>
      </c>
      <c r="I20" s="24" t="n">
        <v>0</v>
      </c>
      <c r="J20" s="24" t="n">
        <v>0</v>
      </c>
      <c r="K20" s="24" t="n">
        <v>0</v>
      </c>
      <c r="L20" s="24" t="n">
        <v>0</v>
      </c>
      <c r="M20" s="24" t="n">
        <v>5</v>
      </c>
      <c r="N20" s="24" t="n">
        <v>5</v>
      </c>
      <c r="O20" s="24" t="n">
        <v>0</v>
      </c>
      <c r="P20" s="24" t="n">
        <v>0</v>
      </c>
      <c r="Q20" s="24" t="n">
        <v>0</v>
      </c>
      <c r="R20" s="24" t="n">
        <v>0</v>
      </c>
      <c r="S20" s="24" t="n">
        <v>0</v>
      </c>
      <c r="T20" s="24" t="n">
        <v>6</v>
      </c>
      <c r="U20" s="24" t="n">
        <v>6</v>
      </c>
      <c r="V20" s="24" t="n">
        <v>16</v>
      </c>
      <c r="W20" s="24" t="n">
        <f aca="false">N20+U20</f>
        <v>11</v>
      </c>
      <c r="X20" s="32" t="n">
        <f aca="false">IF(V20&gt;0,W20/V20,0)</f>
        <v>0.6875</v>
      </c>
      <c r="Y20" s="9"/>
    </row>
    <row r="21" customFormat="false" ht="15" hidden="false" customHeight="false" outlineLevel="0" collapsed="false">
      <c r="A21" s="25" t="n">
        <v>2020</v>
      </c>
      <c r="B21" s="9" t="s">
        <v>265</v>
      </c>
      <c r="C21" s="9" t="s">
        <v>164</v>
      </c>
      <c r="D21" s="9" t="str">
        <f aca="false">INDEX(Lookups!$C$5:$C$75,MATCH($C21,Lookups!$A$5:$A$75,0))</f>
        <v>Latin America &amp; Caribbean</v>
      </c>
      <c r="E21" s="9" t="str">
        <f aca="false">INDEX(Lookups!$D$5:$D$75,MATCH($C21,Lookups!$A$5:$A$75,0))</f>
        <v>Caribbean &amp; Guianas</v>
      </c>
      <c r="F21" s="9" t="str">
        <f aca="false">IF($D21="Latin America &amp; Caribbean","Yes","No")</f>
        <v>Yes</v>
      </c>
      <c r="G21" s="9" t="str">
        <f aca="false">IF($C21="VEN","In-country record","Abroad")</f>
        <v>Abroad</v>
      </c>
      <c r="H21" s="24" t="n">
        <v>9124</v>
      </c>
      <c r="I21" s="24" t="n">
        <v>10131</v>
      </c>
      <c r="J21" s="24" t="n">
        <v>8129</v>
      </c>
      <c r="K21" s="24" t="n">
        <v>37964</v>
      </c>
      <c r="L21" s="24" t="n">
        <v>1848</v>
      </c>
      <c r="M21" s="24" t="n">
        <v>70</v>
      </c>
      <c r="N21" s="24" t="n">
        <v>67266</v>
      </c>
      <c r="O21" s="24" t="n">
        <v>3231</v>
      </c>
      <c r="P21" s="24" t="n">
        <v>9701</v>
      </c>
      <c r="Q21" s="24" t="n">
        <v>6469</v>
      </c>
      <c r="R21" s="24" t="n">
        <v>24432</v>
      </c>
      <c r="S21" s="24" t="n">
        <v>3153</v>
      </c>
      <c r="T21" s="24" t="n">
        <v>73</v>
      </c>
      <c r="U21" s="24" t="n">
        <v>47059</v>
      </c>
      <c r="V21" s="24" t="n">
        <v>114325</v>
      </c>
      <c r="W21" s="24" t="n">
        <f aca="false">N21+U21</f>
        <v>114325</v>
      </c>
      <c r="X21" s="32" t="n">
        <f aca="false">IF(V21&gt;0,W21/V21,0)</f>
        <v>1</v>
      </c>
      <c r="Y21" s="9"/>
    </row>
    <row r="22" customFormat="false" ht="15" hidden="false" customHeight="false" outlineLevel="0" collapsed="false">
      <c r="A22" s="25" t="n">
        <v>2020</v>
      </c>
      <c r="B22" s="9" t="s">
        <v>266</v>
      </c>
      <c r="C22" s="9" t="s">
        <v>159</v>
      </c>
      <c r="D22" s="9" t="str">
        <f aca="false">INDEX(Lookups!$C$5:$C$75,MATCH($C22,Lookups!$A$5:$A$75,0))</f>
        <v>Latin America &amp; Caribbean</v>
      </c>
      <c r="E22" s="9" t="str">
        <f aca="false">INDEX(Lookups!$D$5:$D$75,MATCH($C22,Lookups!$A$5:$A$75,0))</f>
        <v>Andean region</v>
      </c>
      <c r="F22" s="9" t="str">
        <f aca="false">IF($D22="Latin America &amp; Caribbean","Yes","No")</f>
        <v>Yes</v>
      </c>
      <c r="G22" s="9" t="str">
        <f aca="false">IF($C22="VEN","In-country record","Abroad")</f>
        <v>Abroad</v>
      </c>
      <c r="H22" s="24" t="n">
        <v>505</v>
      </c>
      <c r="I22" s="24" t="n">
        <v>962</v>
      </c>
      <c r="J22" s="24" t="n">
        <v>596</v>
      </c>
      <c r="K22" s="24" t="n">
        <v>4722</v>
      </c>
      <c r="L22" s="24" t="n">
        <v>142</v>
      </c>
      <c r="M22" s="24" t="n">
        <v>204666</v>
      </c>
      <c r="N22" s="24" t="n">
        <v>211593</v>
      </c>
      <c r="O22" s="24" t="n">
        <v>537</v>
      </c>
      <c r="P22" s="24" t="n">
        <v>1013</v>
      </c>
      <c r="Q22" s="24" t="n">
        <v>520</v>
      </c>
      <c r="R22" s="24" t="n">
        <v>4947</v>
      </c>
      <c r="S22" s="24" t="n">
        <v>109</v>
      </c>
      <c r="T22" s="24" t="n">
        <v>197116</v>
      </c>
      <c r="U22" s="24" t="n">
        <v>204242</v>
      </c>
      <c r="V22" s="24" t="n">
        <v>415835</v>
      </c>
      <c r="W22" s="24" t="n">
        <f aca="false">N22+U22</f>
        <v>415835</v>
      </c>
      <c r="X22" s="32" t="n">
        <f aca="false">IF(V22&gt;0,W22/V22,0)</f>
        <v>1</v>
      </c>
      <c r="Y22" s="9"/>
    </row>
    <row r="23" customFormat="false" ht="15" hidden="false" customHeight="false" outlineLevel="0" collapsed="false">
      <c r="A23" s="25" t="n">
        <v>2020</v>
      </c>
      <c r="B23" s="9" t="s">
        <v>267</v>
      </c>
      <c r="C23" s="9" t="s">
        <v>197</v>
      </c>
      <c r="D23" s="9" t="str">
        <f aca="false">INDEX(Lookups!$C$5:$C$75,MATCH($C23,Lookups!$A$5:$A$75,0))</f>
        <v>Latin America &amp; Caribbean</v>
      </c>
      <c r="E23" s="9" t="str">
        <f aca="false">INDEX(Lookups!$D$5:$D$75,MATCH($C23,Lookups!$A$5:$A$75,0))</f>
        <v>Central America &amp; Mexico</v>
      </c>
      <c r="F23" s="9" t="str">
        <f aca="false">IF($D23="Latin America &amp; Caribbean","Yes","No")</f>
        <v>Yes</v>
      </c>
      <c r="G23" s="9" t="str">
        <f aca="false">IF($C23="VEN","In-country record","Abroad")</f>
        <v>Abroad</v>
      </c>
      <c r="H23" s="24" t="n">
        <v>0</v>
      </c>
      <c r="I23" s="24" t="n">
        <v>0</v>
      </c>
      <c r="J23" s="24" t="n">
        <v>5</v>
      </c>
      <c r="K23" s="24" t="n">
        <v>0</v>
      </c>
      <c r="L23" s="24" t="n">
        <v>0</v>
      </c>
      <c r="M23" s="24" t="n">
        <v>0</v>
      </c>
      <c r="N23" s="24" t="n">
        <v>5</v>
      </c>
      <c r="O23" s="24" t="n">
        <v>0</v>
      </c>
      <c r="P23" s="24" t="n">
        <v>0</v>
      </c>
      <c r="Q23" s="24" t="n">
        <v>0</v>
      </c>
      <c r="R23" s="24" t="n">
        <v>11</v>
      </c>
      <c r="S23" s="24" t="n">
        <v>0</v>
      </c>
      <c r="T23" s="24" t="n">
        <v>0</v>
      </c>
      <c r="U23" s="24" t="n">
        <v>11</v>
      </c>
      <c r="V23" s="24" t="n">
        <v>16</v>
      </c>
      <c r="W23" s="24" t="n">
        <f aca="false">N23+U23</f>
        <v>16</v>
      </c>
      <c r="X23" s="32" t="n">
        <f aca="false">IF(V23&gt;0,W23/V23,0)</f>
        <v>1</v>
      </c>
      <c r="Y23" s="9"/>
    </row>
    <row r="24" customFormat="false" ht="15" hidden="false" customHeight="false" outlineLevel="0" collapsed="false">
      <c r="A24" s="25" t="n">
        <v>2020</v>
      </c>
      <c r="B24" s="9" t="s">
        <v>268</v>
      </c>
      <c r="C24" s="9" t="s">
        <v>198</v>
      </c>
      <c r="D24" s="9" t="str">
        <f aca="false">INDEX(Lookups!$C$5:$C$75,MATCH($C24,Lookups!$A$5:$A$75,0))</f>
        <v>Europe</v>
      </c>
      <c r="E24" s="9" t="str">
        <f aca="false">INDEX(Lookups!$D$5:$D$75,MATCH($C24,Lookups!$A$5:$A$75,0))</f>
        <v>Europe</v>
      </c>
      <c r="F24" s="9" t="str">
        <f aca="false">IF($D24="Latin America &amp; Caribbean","Yes","No")</f>
        <v>No</v>
      </c>
      <c r="G24" s="9" t="str">
        <f aca="false">IF($C24="VEN","In-country record","Abroad")</f>
        <v>Abroad</v>
      </c>
      <c r="H24" s="24" t="n">
        <v>0</v>
      </c>
      <c r="I24" s="24" t="n">
        <v>0</v>
      </c>
      <c r="J24" s="24" t="n">
        <v>0</v>
      </c>
      <c r="K24" s="24" t="n">
        <v>0</v>
      </c>
      <c r="L24" s="24" t="n">
        <v>0</v>
      </c>
      <c r="M24" s="24" t="n">
        <v>0</v>
      </c>
      <c r="N24" s="24" t="n">
        <v>0</v>
      </c>
      <c r="O24" s="24" t="n">
        <v>0</v>
      </c>
      <c r="P24" s="24" t="n">
        <v>0</v>
      </c>
      <c r="Q24" s="24" t="n">
        <v>0</v>
      </c>
      <c r="R24" s="24" t="n">
        <v>0</v>
      </c>
      <c r="S24" s="24" t="n">
        <v>0</v>
      </c>
      <c r="T24" s="24" t="n">
        <v>9</v>
      </c>
      <c r="U24" s="24" t="n">
        <v>9</v>
      </c>
      <c r="V24" s="24" t="n">
        <v>16</v>
      </c>
      <c r="W24" s="24" t="n">
        <f aca="false">N24+U24</f>
        <v>9</v>
      </c>
      <c r="X24" s="32" t="n">
        <f aca="false">IF(V24&gt;0,W24/V24,0)</f>
        <v>0.5625</v>
      </c>
      <c r="Y24" s="9"/>
    </row>
    <row r="25" customFormat="false" ht="15" hidden="false" customHeight="false" outlineLevel="0" collapsed="false">
      <c r="A25" s="25" t="n">
        <v>2020</v>
      </c>
      <c r="B25" s="9" t="s">
        <v>269</v>
      </c>
      <c r="C25" s="9" t="s">
        <v>179</v>
      </c>
      <c r="D25" s="9" t="str">
        <f aca="false">INDEX(Lookups!$C$5:$C$75,MATCH($C25,Lookups!$A$5:$A$75,0))</f>
        <v>Europe</v>
      </c>
      <c r="E25" s="9" t="str">
        <f aca="false">INDEX(Lookups!$D$5:$D$75,MATCH($C25,Lookups!$A$5:$A$75,0))</f>
        <v>Europe</v>
      </c>
      <c r="F25" s="9" t="str">
        <f aca="false">IF($D25="Latin America &amp; Caribbean","Yes","No")</f>
        <v>No</v>
      </c>
      <c r="G25" s="9" t="str">
        <f aca="false">IF($C25="VEN","In-country record","Abroad")</f>
        <v>Abroad</v>
      </c>
      <c r="H25" s="24" t="n">
        <v>0</v>
      </c>
      <c r="I25" s="24" t="n">
        <v>0</v>
      </c>
      <c r="J25" s="24" t="n">
        <v>0</v>
      </c>
      <c r="K25" s="24" t="n">
        <v>0</v>
      </c>
      <c r="L25" s="24" t="n">
        <v>0</v>
      </c>
      <c r="M25" s="24" t="n">
        <v>232</v>
      </c>
      <c r="N25" s="24" t="n">
        <v>232</v>
      </c>
      <c r="O25" s="24" t="n">
        <v>0</v>
      </c>
      <c r="P25" s="24" t="n">
        <v>0</v>
      </c>
      <c r="Q25" s="24" t="n">
        <v>0</v>
      </c>
      <c r="R25" s="24" t="n">
        <v>0</v>
      </c>
      <c r="S25" s="24" t="n">
        <v>0</v>
      </c>
      <c r="T25" s="24" t="n">
        <v>516</v>
      </c>
      <c r="U25" s="24" t="n">
        <v>516</v>
      </c>
      <c r="V25" s="24" t="n">
        <v>1526</v>
      </c>
      <c r="W25" s="24" t="n">
        <f aca="false">N25+U25</f>
        <v>748</v>
      </c>
      <c r="X25" s="32" t="n">
        <f aca="false">IF(V25&gt;0,W25/V25,0)</f>
        <v>0.490170380078637</v>
      </c>
      <c r="Y25" s="9"/>
    </row>
    <row r="26" customFormat="false" ht="15" hidden="false" customHeight="false" outlineLevel="0" collapsed="false">
      <c r="A26" s="25" t="n">
        <v>2020</v>
      </c>
      <c r="B26" s="9" t="s">
        <v>270</v>
      </c>
      <c r="C26" s="9" t="s">
        <v>175</v>
      </c>
      <c r="D26" s="9" t="str">
        <f aca="false">INDEX(Lookups!$C$5:$C$75,MATCH($C26,Lookups!$A$5:$A$75,0))</f>
        <v>Europe</v>
      </c>
      <c r="E26" s="9" t="str">
        <f aca="false">INDEX(Lookups!$D$5:$D$75,MATCH($C26,Lookups!$A$5:$A$75,0))</f>
        <v>Europe</v>
      </c>
      <c r="F26" s="9" t="str">
        <f aca="false">IF($D26="Latin America &amp; Caribbean","Yes","No")</f>
        <v>No</v>
      </c>
      <c r="G26" s="9" t="str">
        <f aca="false">IF($C26="VEN","In-country record","Abroad")</f>
        <v>Abroad</v>
      </c>
      <c r="H26" s="24" t="n">
        <v>42</v>
      </c>
      <c r="I26" s="24" t="n">
        <v>67</v>
      </c>
      <c r="J26" s="24" t="n">
        <v>55</v>
      </c>
      <c r="K26" s="24" t="n">
        <v>459</v>
      </c>
      <c r="L26" s="24" t="n">
        <v>60</v>
      </c>
      <c r="M26" s="24" t="n">
        <v>0</v>
      </c>
      <c r="N26" s="24" t="n">
        <v>683</v>
      </c>
      <c r="O26" s="24" t="n">
        <v>46</v>
      </c>
      <c r="P26" s="24" t="n">
        <v>79</v>
      </c>
      <c r="Q26" s="24" t="n">
        <v>49</v>
      </c>
      <c r="R26" s="24" t="n">
        <v>622</v>
      </c>
      <c r="S26" s="24" t="n">
        <v>26</v>
      </c>
      <c r="T26" s="24" t="n">
        <v>0</v>
      </c>
      <c r="U26" s="24" t="n">
        <v>822</v>
      </c>
      <c r="V26" s="24" t="n">
        <v>1505</v>
      </c>
      <c r="W26" s="24" t="n">
        <f aca="false">N26+U26</f>
        <v>1505</v>
      </c>
      <c r="X26" s="32" t="n">
        <f aca="false">IF(V26&gt;0,W26/V26,0)</f>
        <v>1</v>
      </c>
      <c r="Y26" s="9"/>
    </row>
    <row r="27" customFormat="false" ht="15" hidden="false" customHeight="false" outlineLevel="0" collapsed="false">
      <c r="A27" s="25" t="n">
        <v>2020</v>
      </c>
      <c r="B27" s="9" t="s">
        <v>271</v>
      </c>
      <c r="C27" s="9" t="s">
        <v>199</v>
      </c>
      <c r="D27" s="9" t="str">
        <f aca="false">INDEX(Lookups!$C$5:$C$75,MATCH($C27,Lookups!$A$5:$A$75,0))</f>
        <v>Europe</v>
      </c>
      <c r="E27" s="9" t="str">
        <f aca="false">INDEX(Lookups!$D$5:$D$75,MATCH($C27,Lookups!$A$5:$A$75,0))</f>
        <v>Europe</v>
      </c>
      <c r="F27" s="9" t="str">
        <f aca="false">IF($D27="Latin America &amp; Caribbean","Yes","No")</f>
        <v>No</v>
      </c>
      <c r="G27" s="9" t="str">
        <f aca="false">IF($C27="VEN","In-country record","Abroad")</f>
        <v>Abroad</v>
      </c>
      <c r="H27" s="24" t="n">
        <v>0</v>
      </c>
      <c r="I27" s="24" t="n">
        <v>0</v>
      </c>
      <c r="J27" s="24" t="n">
        <v>0</v>
      </c>
      <c r="K27" s="24" t="n">
        <v>0</v>
      </c>
      <c r="L27" s="24" t="n">
        <v>0</v>
      </c>
      <c r="M27" s="24" t="n">
        <v>13</v>
      </c>
      <c r="N27" s="24" t="n">
        <v>13</v>
      </c>
      <c r="O27" s="24" t="n">
        <v>0</v>
      </c>
      <c r="P27" s="24" t="n">
        <v>0</v>
      </c>
      <c r="Q27" s="24" t="n">
        <v>0</v>
      </c>
      <c r="R27" s="24" t="n">
        <v>0</v>
      </c>
      <c r="S27" s="24" t="n">
        <v>0</v>
      </c>
      <c r="T27" s="24" t="n">
        <v>7</v>
      </c>
      <c r="U27" s="24" t="n">
        <v>7</v>
      </c>
      <c r="V27" s="24" t="n">
        <v>33</v>
      </c>
      <c r="W27" s="24" t="n">
        <f aca="false">N27+U27</f>
        <v>20</v>
      </c>
      <c r="X27" s="32" t="n">
        <f aca="false">IF(V27&gt;0,W27/V27,0)</f>
        <v>0.606060606060606</v>
      </c>
      <c r="Y27" s="9"/>
    </row>
    <row r="28" customFormat="false" ht="15" hidden="false" customHeight="false" outlineLevel="0" collapsed="false">
      <c r="A28" s="25" t="n">
        <v>2020</v>
      </c>
      <c r="B28" s="9" t="s">
        <v>272</v>
      </c>
      <c r="C28" s="9" t="s">
        <v>218</v>
      </c>
      <c r="D28" s="9" t="str">
        <f aca="false">INDEX(Lookups!$C$5:$C$75,MATCH($C28,Lookups!$A$5:$A$75,0))</f>
        <v>Latin America &amp; Caribbean</v>
      </c>
      <c r="E28" s="9" t="str">
        <f aca="false">INDEX(Lookups!$D$5:$D$75,MATCH($C28,Lookups!$A$5:$A$75,0))</f>
        <v>Caribbean &amp; Guianas</v>
      </c>
      <c r="F28" s="9" t="str">
        <f aca="false">IF($D28="Latin America &amp; Caribbean","Yes","No")</f>
        <v>Yes</v>
      </c>
      <c r="G28" s="9" t="str">
        <f aca="false">IF($C28="VEN","In-country record","Abroad")</f>
        <v>Abroad</v>
      </c>
      <c r="H28" s="24" t="n">
        <v>0</v>
      </c>
      <c r="I28" s="24" t="n">
        <v>0</v>
      </c>
      <c r="J28" s="24" t="n">
        <v>0</v>
      </c>
      <c r="K28" s="24" t="n">
        <v>0</v>
      </c>
      <c r="L28" s="24" t="n">
        <v>0</v>
      </c>
      <c r="M28" s="24" t="n">
        <v>0</v>
      </c>
      <c r="N28" s="24" t="n">
        <v>0</v>
      </c>
      <c r="O28" s="24" t="n">
        <v>0</v>
      </c>
      <c r="P28" s="24" t="n">
        <v>0</v>
      </c>
      <c r="Q28" s="24" t="n">
        <v>0</v>
      </c>
      <c r="R28" s="24" t="n">
        <v>0</v>
      </c>
      <c r="S28" s="24" t="n">
        <v>0</v>
      </c>
      <c r="T28" s="24" t="n">
        <v>0</v>
      </c>
      <c r="U28" s="24" t="n">
        <v>0</v>
      </c>
      <c r="V28" s="24" t="n">
        <v>234</v>
      </c>
      <c r="W28" s="24" t="n">
        <f aca="false">N28+U28</f>
        <v>0</v>
      </c>
      <c r="X28" s="32" t="n">
        <f aca="false">IF(V28&gt;0,W28/V28,0)</f>
        <v>0</v>
      </c>
      <c r="Y28" s="9"/>
    </row>
    <row r="29" customFormat="false" ht="15" hidden="false" customHeight="false" outlineLevel="0" collapsed="false">
      <c r="A29" s="25" t="n">
        <v>2020</v>
      </c>
      <c r="B29" s="9" t="s">
        <v>273</v>
      </c>
      <c r="C29" s="9" t="s">
        <v>172</v>
      </c>
      <c r="D29" s="9" t="str">
        <f aca="false">INDEX(Lookups!$C$5:$C$75,MATCH($C29,Lookups!$A$5:$A$75,0))</f>
        <v>Latin America &amp; Caribbean</v>
      </c>
      <c r="E29" s="9" t="str">
        <f aca="false">INDEX(Lookups!$D$5:$D$75,MATCH($C29,Lookups!$A$5:$A$75,0))</f>
        <v>Central America &amp; Mexico</v>
      </c>
      <c r="F29" s="9" t="str">
        <f aca="false">IF($D29="Latin America &amp; Caribbean","Yes","No")</f>
        <v>Yes</v>
      </c>
      <c r="G29" s="9" t="str">
        <f aca="false">IF($C29="VEN","In-country record","Abroad")</f>
        <v>Abroad</v>
      </c>
      <c r="H29" s="24" t="n">
        <v>0</v>
      </c>
      <c r="I29" s="24" t="n">
        <v>0</v>
      </c>
      <c r="J29" s="24" t="n">
        <v>0</v>
      </c>
      <c r="K29" s="24" t="n">
        <v>0</v>
      </c>
      <c r="L29" s="24" t="n">
        <v>0</v>
      </c>
      <c r="M29" s="24" t="n">
        <v>0</v>
      </c>
      <c r="N29" s="24" t="n">
        <v>0</v>
      </c>
      <c r="O29" s="24" t="n">
        <v>0</v>
      </c>
      <c r="P29" s="24" t="n">
        <v>0</v>
      </c>
      <c r="Q29" s="24" t="n">
        <v>0</v>
      </c>
      <c r="R29" s="24" t="n">
        <v>0</v>
      </c>
      <c r="S29" s="24" t="n">
        <v>0</v>
      </c>
      <c r="T29" s="24" t="n">
        <v>0</v>
      </c>
      <c r="U29" s="24" t="n">
        <v>0</v>
      </c>
      <c r="V29" s="24" t="n">
        <v>103</v>
      </c>
      <c r="W29" s="24" t="n">
        <f aca="false">N29+U29</f>
        <v>0</v>
      </c>
      <c r="X29" s="32" t="n">
        <f aca="false">IF(V29&gt;0,W29/V29,0)</f>
        <v>0</v>
      </c>
      <c r="Y29" s="9"/>
    </row>
    <row r="30" customFormat="false" ht="15" hidden="false" customHeight="false" outlineLevel="0" collapsed="false">
      <c r="A30" s="25" t="n">
        <v>2020</v>
      </c>
      <c r="B30" s="9" t="s">
        <v>274</v>
      </c>
      <c r="C30" s="9" t="s">
        <v>169</v>
      </c>
      <c r="D30" s="9" t="str">
        <f aca="false">INDEX(Lookups!$C$5:$C$75,MATCH($C30,Lookups!$A$5:$A$75,0))</f>
        <v>Latin America &amp; Caribbean</v>
      </c>
      <c r="E30" s="9" t="str">
        <f aca="false">INDEX(Lookups!$D$5:$D$75,MATCH($C30,Lookups!$A$5:$A$75,0))</f>
        <v>Caribbean &amp; Guianas</v>
      </c>
      <c r="F30" s="9" t="str">
        <f aca="false">IF($D30="Latin America &amp; Caribbean","Yes","No")</f>
        <v>Yes</v>
      </c>
      <c r="G30" s="9" t="str">
        <f aca="false">IF($C30="VEN","In-country record","Abroad")</f>
        <v>Abroad</v>
      </c>
      <c r="H30" s="24" t="n">
        <v>0</v>
      </c>
      <c r="I30" s="24" t="n">
        <v>0</v>
      </c>
      <c r="J30" s="24" t="n">
        <v>0</v>
      </c>
      <c r="K30" s="24" t="n">
        <v>0</v>
      </c>
      <c r="L30" s="24" t="n">
        <v>0</v>
      </c>
      <c r="M30" s="24" t="n">
        <v>0</v>
      </c>
      <c r="N30" s="24" t="n">
        <v>0</v>
      </c>
      <c r="O30" s="24" t="n">
        <v>0</v>
      </c>
      <c r="P30" s="24" t="n">
        <v>0</v>
      </c>
      <c r="Q30" s="24" t="n">
        <v>0</v>
      </c>
      <c r="R30" s="24" t="n">
        <v>0</v>
      </c>
      <c r="S30" s="24" t="n">
        <v>0</v>
      </c>
      <c r="T30" s="24" t="n">
        <v>0</v>
      </c>
      <c r="U30" s="24" t="n">
        <v>0</v>
      </c>
      <c r="V30" s="24" t="n">
        <v>23307</v>
      </c>
      <c r="W30" s="24" t="n">
        <f aca="false">N30+U30</f>
        <v>0</v>
      </c>
      <c r="X30" s="32" t="n">
        <f aca="false">IF(V30&gt;0,W30/V30,0)</f>
        <v>0</v>
      </c>
      <c r="Y30" s="9" t="s">
        <v>248</v>
      </c>
    </row>
    <row r="31" customFormat="false" ht="15" hidden="false" customHeight="false" outlineLevel="0" collapsed="false">
      <c r="A31" s="25" t="n">
        <v>2020</v>
      </c>
      <c r="B31" s="9" t="s">
        <v>275</v>
      </c>
      <c r="C31" s="9" t="s">
        <v>170</v>
      </c>
      <c r="D31" s="9" t="str">
        <f aca="false">INDEX(Lookups!$C$5:$C$75,MATCH($C31,Lookups!$A$5:$A$75,0))</f>
        <v>Latin America &amp; Caribbean</v>
      </c>
      <c r="E31" s="9" t="str">
        <f aca="false">INDEX(Lookups!$D$5:$D$75,MATCH($C31,Lookups!$A$5:$A$75,0))</f>
        <v>Central America &amp; Mexico</v>
      </c>
      <c r="F31" s="9" t="str">
        <f aca="false">IF($D31="Latin America &amp; Caribbean","Yes","No")</f>
        <v>Yes</v>
      </c>
      <c r="G31" s="9" t="str">
        <f aca="false">IF($C31="VEN","In-country record","Abroad")</f>
        <v>Abroad</v>
      </c>
      <c r="H31" s="24" t="n">
        <v>0</v>
      </c>
      <c r="I31" s="24" t="n">
        <v>0</v>
      </c>
      <c r="J31" s="24" t="n">
        <v>0</v>
      </c>
      <c r="K31" s="24" t="n">
        <v>0</v>
      </c>
      <c r="L31" s="24" t="n">
        <v>0</v>
      </c>
      <c r="M31" s="24" t="n">
        <v>0</v>
      </c>
      <c r="N31" s="24" t="n">
        <v>0</v>
      </c>
      <c r="O31" s="24" t="n">
        <v>0</v>
      </c>
      <c r="P31" s="24" t="n">
        <v>0</v>
      </c>
      <c r="Q31" s="24" t="n">
        <v>0</v>
      </c>
      <c r="R31" s="24" t="n">
        <v>0</v>
      </c>
      <c r="S31" s="24" t="n">
        <v>0</v>
      </c>
      <c r="T31" s="24" t="n">
        <v>0</v>
      </c>
      <c r="U31" s="24" t="n">
        <v>0</v>
      </c>
      <c r="V31" s="24" t="n">
        <v>12</v>
      </c>
      <c r="W31" s="24" t="n">
        <f aca="false">N31+U31</f>
        <v>0</v>
      </c>
      <c r="X31" s="32" t="n">
        <f aca="false">IF(V31&gt;0,W31/V31,0)</f>
        <v>0</v>
      </c>
      <c r="Y31" s="9"/>
    </row>
    <row r="32" customFormat="false" ht="15" hidden="false" customHeight="false" outlineLevel="0" collapsed="false">
      <c r="A32" s="25" t="n">
        <v>2020</v>
      </c>
      <c r="B32" s="9" t="s">
        <v>276</v>
      </c>
      <c r="C32" s="9" t="s">
        <v>180</v>
      </c>
      <c r="D32" s="9" t="str">
        <f aca="false">INDEX(Lookups!$C$5:$C$75,MATCH($C32,Lookups!$A$5:$A$75,0))</f>
        <v>Europe</v>
      </c>
      <c r="E32" s="9" t="str">
        <f aca="false">INDEX(Lookups!$D$5:$D$75,MATCH($C32,Lookups!$A$5:$A$75,0))</f>
        <v>Europe</v>
      </c>
      <c r="F32" s="9" t="str">
        <f aca="false">IF($D32="Latin America &amp; Caribbean","Yes","No")</f>
        <v>No</v>
      </c>
      <c r="G32" s="9" t="str">
        <f aca="false">IF($C32="VEN","In-country record","Abroad")</f>
        <v>Abroad</v>
      </c>
      <c r="H32" s="24" t="n">
        <v>0</v>
      </c>
      <c r="I32" s="24" t="n">
        <v>0</v>
      </c>
      <c r="J32" s="24" t="n">
        <v>0</v>
      </c>
      <c r="K32" s="24" t="n">
        <v>0</v>
      </c>
      <c r="L32" s="24" t="n">
        <v>0</v>
      </c>
      <c r="M32" s="24" t="n">
        <v>5</v>
      </c>
      <c r="N32" s="24" t="n">
        <v>5</v>
      </c>
      <c r="O32" s="24" t="n">
        <v>0</v>
      </c>
      <c r="P32" s="24" t="n">
        <v>0</v>
      </c>
      <c r="Q32" s="24" t="n">
        <v>0</v>
      </c>
      <c r="R32" s="24" t="n">
        <v>0</v>
      </c>
      <c r="S32" s="24" t="n">
        <v>0</v>
      </c>
      <c r="T32" s="24" t="n">
        <v>5</v>
      </c>
      <c r="U32" s="24" t="n">
        <v>5</v>
      </c>
      <c r="V32" s="24" t="n">
        <v>304</v>
      </c>
      <c r="W32" s="24" t="n">
        <f aca="false">N32+U32</f>
        <v>10</v>
      </c>
      <c r="X32" s="32" t="n">
        <f aca="false">IF(V32&gt;0,W32/V32,0)</f>
        <v>0.0328947368421053</v>
      </c>
      <c r="Y32" s="9"/>
    </row>
    <row r="33" customFormat="false" ht="15" hidden="false" customHeight="false" outlineLevel="0" collapsed="false">
      <c r="A33" s="25" t="n">
        <v>2020</v>
      </c>
      <c r="B33" s="9" t="s">
        <v>277</v>
      </c>
      <c r="C33" s="9" t="s">
        <v>202</v>
      </c>
      <c r="D33" s="9" t="str">
        <f aca="false">INDEX(Lookups!$C$5:$C$75,MATCH($C33,Lookups!$A$5:$A$75,0))</f>
        <v>Other regions</v>
      </c>
      <c r="E33" s="9" t="str">
        <f aca="false">INDEX(Lookups!$D$5:$D$75,MATCH($C33,Lookups!$A$5:$A$75,0))</f>
        <v>Rest of world</v>
      </c>
      <c r="F33" s="9" t="str">
        <f aca="false">IF($D33="Latin America &amp; Caribbean","Yes","No")</f>
        <v>No</v>
      </c>
      <c r="G33" s="9" t="str">
        <f aca="false">IF($C33="VEN","In-country record","Abroad")</f>
        <v>Abroad</v>
      </c>
      <c r="H33" s="24" t="n">
        <v>0</v>
      </c>
      <c r="I33" s="24" t="n">
        <v>0</v>
      </c>
      <c r="J33" s="24" t="n">
        <v>0</v>
      </c>
      <c r="K33" s="24" t="n">
        <v>11</v>
      </c>
      <c r="L33" s="24" t="n">
        <v>0</v>
      </c>
      <c r="M33" s="24" t="n">
        <v>0</v>
      </c>
      <c r="N33" s="24" t="n">
        <v>11</v>
      </c>
      <c r="O33" s="24" t="n">
        <v>0</v>
      </c>
      <c r="P33" s="24" t="n">
        <v>0</v>
      </c>
      <c r="Q33" s="24" t="n">
        <v>0</v>
      </c>
      <c r="R33" s="24" t="n">
        <v>0</v>
      </c>
      <c r="S33" s="24" t="n">
        <v>0</v>
      </c>
      <c r="T33" s="24" t="n">
        <v>0</v>
      </c>
      <c r="U33" s="24" t="n">
        <v>0</v>
      </c>
      <c r="V33" s="24" t="n">
        <v>11</v>
      </c>
      <c r="W33" s="24" t="n">
        <f aca="false">N33+U33</f>
        <v>11</v>
      </c>
      <c r="X33" s="32" t="n">
        <f aca="false">IF(V33&gt;0,W33/V33,0)</f>
        <v>1</v>
      </c>
      <c r="Y33" s="9"/>
    </row>
    <row r="34" customFormat="false" ht="15" hidden="false" customHeight="false" outlineLevel="0" collapsed="false">
      <c r="A34" s="25" t="n">
        <v>2020</v>
      </c>
      <c r="B34" s="9" t="s">
        <v>278</v>
      </c>
      <c r="C34" s="9" t="s">
        <v>220</v>
      </c>
      <c r="D34" s="9" t="str">
        <f aca="false">INDEX(Lookups!$C$5:$C$75,MATCH($C34,Lookups!$A$5:$A$75,0))</f>
        <v>Other regions</v>
      </c>
      <c r="E34" s="9" t="str">
        <f aca="false">INDEX(Lookups!$D$5:$D$75,MATCH($C34,Lookups!$A$5:$A$75,0))</f>
        <v>Rest of world</v>
      </c>
      <c r="F34" s="9" t="str">
        <f aca="false">IF($D34="Latin America &amp; Caribbean","Yes","No")</f>
        <v>No</v>
      </c>
      <c r="G34" s="9" t="str">
        <f aca="false">IF($C34="VEN","In-country record","Abroad")</f>
        <v>Abroad</v>
      </c>
      <c r="H34" s="24" t="n">
        <v>0</v>
      </c>
      <c r="I34" s="24" t="n">
        <v>0</v>
      </c>
      <c r="J34" s="24" t="n">
        <v>0</v>
      </c>
      <c r="K34" s="24" t="n">
        <v>0</v>
      </c>
      <c r="L34" s="24" t="n">
        <v>0</v>
      </c>
      <c r="M34" s="24" t="n">
        <v>0</v>
      </c>
      <c r="N34" s="24" t="n">
        <v>0</v>
      </c>
      <c r="O34" s="24" t="n">
        <v>0</v>
      </c>
      <c r="P34" s="24" t="n">
        <v>0</v>
      </c>
      <c r="Q34" s="24" t="n">
        <v>0</v>
      </c>
      <c r="R34" s="24" t="n">
        <v>5</v>
      </c>
      <c r="S34" s="24" t="n">
        <v>0</v>
      </c>
      <c r="T34" s="24" t="n">
        <v>0</v>
      </c>
      <c r="U34" s="24" t="n">
        <v>5</v>
      </c>
      <c r="V34" s="24" t="n">
        <v>5</v>
      </c>
      <c r="W34" s="24" t="n">
        <f aca="false">N34+U34</f>
        <v>5</v>
      </c>
      <c r="X34" s="32" t="n">
        <f aca="false">IF(V34&gt;0,W34/V34,0)</f>
        <v>1</v>
      </c>
      <c r="Y34" s="9"/>
    </row>
    <row r="35" customFormat="false" ht="15" hidden="false" customHeight="false" outlineLevel="0" collapsed="false">
      <c r="A35" s="25" t="n">
        <v>2020</v>
      </c>
      <c r="B35" s="9" t="s">
        <v>279</v>
      </c>
      <c r="C35" s="9" t="s">
        <v>190</v>
      </c>
      <c r="D35" s="9" t="str">
        <f aca="false">INDEX(Lookups!$C$5:$C$75,MATCH($C35,Lookups!$A$5:$A$75,0))</f>
        <v>Europe</v>
      </c>
      <c r="E35" s="9" t="str">
        <f aca="false">INDEX(Lookups!$D$5:$D$75,MATCH($C35,Lookups!$A$5:$A$75,0))</f>
        <v>Europe</v>
      </c>
      <c r="F35" s="9" t="str">
        <f aca="false">IF($D35="Latin America &amp; Caribbean","Yes","No")</f>
        <v>No</v>
      </c>
      <c r="G35" s="9" t="str">
        <f aca="false">IF($C35="VEN","In-country record","Abroad")</f>
        <v>Abroad</v>
      </c>
      <c r="H35" s="24" t="n">
        <v>0</v>
      </c>
      <c r="I35" s="24" t="n">
        <v>7</v>
      </c>
      <c r="J35" s="24" t="n">
        <v>0</v>
      </c>
      <c r="K35" s="24" t="n">
        <v>65</v>
      </c>
      <c r="L35" s="24" t="n">
        <v>14</v>
      </c>
      <c r="M35" s="24" t="n">
        <v>0</v>
      </c>
      <c r="N35" s="24" t="n">
        <v>86</v>
      </c>
      <c r="O35" s="24" t="n">
        <v>9</v>
      </c>
      <c r="P35" s="24" t="n">
        <v>0</v>
      </c>
      <c r="Q35" s="24" t="n">
        <v>0</v>
      </c>
      <c r="R35" s="24" t="n">
        <v>86</v>
      </c>
      <c r="S35" s="24" t="n">
        <v>10</v>
      </c>
      <c r="T35" s="24" t="n">
        <v>0</v>
      </c>
      <c r="U35" s="24" t="n">
        <v>105</v>
      </c>
      <c r="V35" s="24" t="n">
        <v>191</v>
      </c>
      <c r="W35" s="24" t="n">
        <f aca="false">N35+U35</f>
        <v>191</v>
      </c>
      <c r="X35" s="32" t="n">
        <f aca="false">IF(V35&gt;0,W35/V35,0)</f>
        <v>1</v>
      </c>
      <c r="Y35" s="9"/>
    </row>
    <row r="36" customFormat="false" ht="15" hidden="false" customHeight="false" outlineLevel="0" collapsed="false">
      <c r="A36" s="25" t="n">
        <v>2020</v>
      </c>
      <c r="B36" s="9" t="s">
        <v>280</v>
      </c>
      <c r="C36" s="9" t="s">
        <v>219</v>
      </c>
      <c r="D36" s="9" t="str">
        <f aca="false">INDEX(Lookups!$C$5:$C$75,MATCH($C36,Lookups!$A$5:$A$75,0))</f>
        <v>Other regions</v>
      </c>
      <c r="E36" s="9" t="str">
        <f aca="false">INDEX(Lookups!$D$5:$D$75,MATCH($C36,Lookups!$A$5:$A$75,0))</f>
        <v>Rest of world</v>
      </c>
      <c r="F36" s="9" t="str">
        <f aca="false">IF($D36="Latin America &amp; Caribbean","Yes","No")</f>
        <v>No</v>
      </c>
      <c r="G36" s="9" t="str">
        <f aca="false">IF($C36="VEN","In-country record","Abroad")</f>
        <v>Abroad</v>
      </c>
      <c r="H36" s="24" t="n">
        <v>0</v>
      </c>
      <c r="I36" s="24" t="n">
        <v>0</v>
      </c>
      <c r="J36" s="24" t="n">
        <v>0</v>
      </c>
      <c r="K36" s="24" t="n">
        <v>0</v>
      </c>
      <c r="L36" s="24" t="n">
        <v>0</v>
      </c>
      <c r="M36" s="24" t="n">
        <v>0</v>
      </c>
      <c r="N36" s="24" t="n">
        <v>0</v>
      </c>
      <c r="O36" s="24" t="n">
        <v>0</v>
      </c>
      <c r="P36" s="24" t="n">
        <v>0</v>
      </c>
      <c r="Q36" s="24" t="n">
        <v>0</v>
      </c>
      <c r="R36" s="24" t="n">
        <v>0</v>
      </c>
      <c r="S36" s="24" t="n">
        <v>0</v>
      </c>
      <c r="T36" s="24" t="n">
        <v>0</v>
      </c>
      <c r="U36" s="24" t="n">
        <v>0</v>
      </c>
      <c r="V36" s="24" t="n">
        <v>5</v>
      </c>
      <c r="W36" s="24" t="n">
        <f aca="false">N36+U36</f>
        <v>0</v>
      </c>
      <c r="X36" s="32" t="n">
        <f aca="false">IF(V36&gt;0,W36/V36,0)</f>
        <v>0</v>
      </c>
      <c r="Y36" s="9"/>
    </row>
    <row r="37" customFormat="false" ht="15" hidden="false" customHeight="false" outlineLevel="0" collapsed="false">
      <c r="A37" s="25" t="n">
        <v>2020</v>
      </c>
      <c r="B37" s="9" t="s">
        <v>281</v>
      </c>
      <c r="C37" s="9" t="s">
        <v>174</v>
      </c>
      <c r="D37" s="9" t="str">
        <f aca="false">INDEX(Lookups!$C$5:$C$75,MATCH($C37,Lookups!$A$5:$A$75,0))</f>
        <v>Europe</v>
      </c>
      <c r="E37" s="9" t="str">
        <f aca="false">INDEX(Lookups!$D$5:$D$75,MATCH($C37,Lookups!$A$5:$A$75,0))</f>
        <v>Europe</v>
      </c>
      <c r="F37" s="9" t="str">
        <f aca="false">IF($D37="Latin America &amp; Caribbean","Yes","No")</f>
        <v>No</v>
      </c>
      <c r="G37" s="9" t="str">
        <f aca="false">IF($C37="VEN","In-country record","Abroad")</f>
        <v>Abroad</v>
      </c>
      <c r="H37" s="24" t="n">
        <v>0</v>
      </c>
      <c r="I37" s="24" t="n">
        <v>0</v>
      </c>
      <c r="J37" s="24" t="n">
        <v>0</v>
      </c>
      <c r="K37" s="24" t="n">
        <v>0</v>
      </c>
      <c r="L37" s="24" t="n">
        <v>0</v>
      </c>
      <c r="M37" s="24" t="n">
        <v>0</v>
      </c>
      <c r="N37" s="24" t="n">
        <v>0</v>
      </c>
      <c r="O37" s="24" t="n">
        <v>0</v>
      </c>
      <c r="P37" s="24" t="n">
        <v>0</v>
      </c>
      <c r="Q37" s="24" t="n">
        <v>0</v>
      </c>
      <c r="R37" s="24" t="n">
        <v>0</v>
      </c>
      <c r="S37" s="24" t="n">
        <v>0</v>
      </c>
      <c r="T37" s="24" t="n">
        <v>0</v>
      </c>
      <c r="U37" s="24" t="n">
        <v>0</v>
      </c>
      <c r="V37" s="24" t="n">
        <v>2899</v>
      </c>
      <c r="W37" s="24" t="n">
        <f aca="false">N37+U37</f>
        <v>0</v>
      </c>
      <c r="X37" s="32" t="n">
        <f aca="false">IF(V37&gt;0,W37/V37,0)</f>
        <v>0</v>
      </c>
      <c r="Y37" s="9" t="s">
        <v>248</v>
      </c>
    </row>
    <row r="38" customFormat="false" ht="15" hidden="false" customHeight="false" outlineLevel="0" collapsed="false">
      <c r="A38" s="25" t="n">
        <v>2020</v>
      </c>
      <c r="B38" s="9" t="s">
        <v>282</v>
      </c>
      <c r="C38" s="9" t="s">
        <v>217</v>
      </c>
      <c r="D38" s="9" t="str">
        <f aca="false">INDEX(Lookups!$C$5:$C$75,MATCH($C38,Lookups!$A$5:$A$75,0))</f>
        <v>Latin America &amp; Caribbean</v>
      </c>
      <c r="E38" s="9" t="str">
        <f aca="false">INDEX(Lookups!$D$5:$D$75,MATCH($C38,Lookups!$A$5:$A$75,0))</f>
        <v>Caribbean &amp; Guianas</v>
      </c>
      <c r="F38" s="9" t="str">
        <f aca="false">IF($D38="Latin America &amp; Caribbean","Yes","No")</f>
        <v>Yes</v>
      </c>
      <c r="G38" s="9" t="str">
        <f aca="false">IF($C38="VEN","In-country record","Abroad")</f>
        <v>Abroad</v>
      </c>
      <c r="H38" s="24" t="n">
        <v>0</v>
      </c>
      <c r="I38" s="24" t="n">
        <v>0</v>
      </c>
      <c r="J38" s="24" t="n">
        <v>0</v>
      </c>
      <c r="K38" s="24" t="n">
        <v>0</v>
      </c>
      <c r="L38" s="24" t="n">
        <v>0</v>
      </c>
      <c r="M38" s="24" t="n">
        <v>0</v>
      </c>
      <c r="N38" s="24" t="n">
        <v>0</v>
      </c>
      <c r="O38" s="24" t="n">
        <v>0</v>
      </c>
      <c r="P38" s="24" t="n">
        <v>0</v>
      </c>
      <c r="Q38" s="24" t="n">
        <v>0</v>
      </c>
      <c r="R38" s="24" t="n">
        <v>0</v>
      </c>
      <c r="S38" s="24" t="n">
        <v>0</v>
      </c>
      <c r="T38" s="24" t="n">
        <v>0</v>
      </c>
      <c r="U38" s="24" t="n">
        <v>0</v>
      </c>
      <c r="V38" s="24" t="n">
        <v>67</v>
      </c>
      <c r="W38" s="24" t="n">
        <f aca="false">N38+U38</f>
        <v>0</v>
      </c>
      <c r="X38" s="32" t="n">
        <f aca="false">IF(V38&gt;0,W38/V38,0)</f>
        <v>0</v>
      </c>
      <c r="Y38" s="9"/>
    </row>
    <row r="39" customFormat="false" ht="15" hidden="false" customHeight="false" outlineLevel="0" collapsed="false">
      <c r="A39" s="25" t="n">
        <v>2020</v>
      </c>
      <c r="B39" s="9" t="s">
        <v>283</v>
      </c>
      <c r="C39" s="9" t="s">
        <v>221</v>
      </c>
      <c r="D39" s="9" t="str">
        <f aca="false">INDEX(Lookups!$C$5:$C$75,MATCH($C39,Lookups!$A$5:$A$75,0))</f>
        <v>Other regions</v>
      </c>
      <c r="E39" s="9" t="str">
        <f aca="false">INDEX(Lookups!$D$5:$D$75,MATCH($C39,Lookups!$A$5:$A$75,0))</f>
        <v>Rest of world</v>
      </c>
      <c r="F39" s="9" t="str">
        <f aca="false">IF($D39="Latin America &amp; Caribbean","Yes","No")</f>
        <v>No</v>
      </c>
      <c r="G39" s="9" t="str">
        <f aca="false">IF($C39="VEN","In-country record","Abroad")</f>
        <v>Abroad</v>
      </c>
      <c r="H39" s="24" t="n">
        <v>0</v>
      </c>
      <c r="I39" s="24" t="n">
        <v>0</v>
      </c>
      <c r="J39" s="24" t="n">
        <v>0</v>
      </c>
      <c r="K39" s="24" t="n">
        <v>0</v>
      </c>
      <c r="L39" s="24" t="n">
        <v>0</v>
      </c>
      <c r="M39" s="24" t="n">
        <v>0</v>
      </c>
      <c r="N39" s="24" t="n">
        <v>0</v>
      </c>
      <c r="O39" s="24" t="n">
        <v>0</v>
      </c>
      <c r="P39" s="24" t="n">
        <v>0</v>
      </c>
      <c r="Q39" s="24" t="n">
        <v>5</v>
      </c>
      <c r="R39" s="24" t="n">
        <v>0</v>
      </c>
      <c r="S39" s="24" t="n">
        <v>0</v>
      </c>
      <c r="T39" s="24" t="n">
        <v>0</v>
      </c>
      <c r="U39" s="24" t="n">
        <v>5</v>
      </c>
      <c r="V39" s="24" t="n">
        <v>5</v>
      </c>
      <c r="W39" s="24" t="n">
        <f aca="false">N39+U39</f>
        <v>5</v>
      </c>
      <c r="X39" s="32" t="n">
        <f aca="false">IF(V39&gt;0,W39/V39,0)</f>
        <v>1</v>
      </c>
      <c r="Y39" s="9"/>
    </row>
    <row r="40" customFormat="false" ht="15" hidden="false" customHeight="false" outlineLevel="0" collapsed="false">
      <c r="A40" s="25" t="n">
        <v>2020</v>
      </c>
      <c r="B40" s="9" t="s">
        <v>284</v>
      </c>
      <c r="C40" s="9" t="s">
        <v>223</v>
      </c>
      <c r="D40" s="9" t="str">
        <f aca="false">INDEX(Lookups!$C$5:$C$75,MATCH($C40,Lookups!$A$5:$A$75,0))</f>
        <v>Other regions</v>
      </c>
      <c r="E40" s="9" t="str">
        <f aca="false">INDEX(Lookups!$D$5:$D$75,MATCH($C40,Lookups!$A$5:$A$75,0))</f>
        <v>Rest of world</v>
      </c>
      <c r="F40" s="9" t="str">
        <f aca="false">IF($D40="Latin America &amp; Caribbean","Yes","No")</f>
        <v>No</v>
      </c>
      <c r="G40" s="9" t="str">
        <f aca="false">IF($C40="VEN","In-country record","Abroad")</f>
        <v>Abroad</v>
      </c>
      <c r="H40" s="24" t="n">
        <v>0</v>
      </c>
      <c r="I40" s="24" t="n">
        <v>5</v>
      </c>
      <c r="J40" s="24" t="n">
        <v>0</v>
      </c>
      <c r="K40" s="24" t="n">
        <v>0</v>
      </c>
      <c r="L40" s="24" t="n">
        <v>0</v>
      </c>
      <c r="M40" s="24" t="n">
        <v>0</v>
      </c>
      <c r="N40" s="24" t="n">
        <v>5</v>
      </c>
      <c r="O40" s="24" t="n">
        <v>0</v>
      </c>
      <c r="P40" s="24" t="n">
        <v>0</v>
      </c>
      <c r="Q40" s="24" t="n">
        <v>0</v>
      </c>
      <c r="R40" s="24" t="n">
        <v>0</v>
      </c>
      <c r="S40" s="24" t="n">
        <v>0</v>
      </c>
      <c r="T40" s="24" t="n">
        <v>0</v>
      </c>
      <c r="U40" s="24" t="n">
        <v>0</v>
      </c>
      <c r="V40" s="24" t="n">
        <v>5</v>
      </c>
      <c r="W40" s="24" t="n">
        <f aca="false">N40+U40</f>
        <v>5</v>
      </c>
      <c r="X40" s="32" t="n">
        <f aca="false">IF(V40&gt;0,W40/V40,0)</f>
        <v>1</v>
      </c>
      <c r="Y40" s="9"/>
    </row>
    <row r="41" customFormat="false" ht="15" hidden="false" customHeight="false" outlineLevel="0" collapsed="false">
      <c r="A41" s="25" t="n">
        <v>2020</v>
      </c>
      <c r="B41" s="9" t="s">
        <v>285</v>
      </c>
      <c r="C41" s="9" t="s">
        <v>186</v>
      </c>
      <c r="D41" s="9" t="str">
        <f aca="false">INDEX(Lookups!$C$5:$C$75,MATCH($C41,Lookups!$A$5:$A$75,0))</f>
        <v>Europe</v>
      </c>
      <c r="E41" s="9" t="str">
        <f aca="false">INDEX(Lookups!$D$5:$D$75,MATCH($C41,Lookups!$A$5:$A$75,0))</f>
        <v>Europe</v>
      </c>
      <c r="F41" s="9" t="str">
        <f aca="false">IF($D41="Latin America &amp; Caribbean","Yes","No")</f>
        <v>No</v>
      </c>
      <c r="G41" s="9" t="str">
        <f aca="false">IF($C41="VEN","In-country record","Abroad")</f>
        <v>Abroad</v>
      </c>
      <c r="H41" s="24" t="n">
        <v>0</v>
      </c>
      <c r="I41" s="24" t="n">
        <v>0</v>
      </c>
      <c r="J41" s="24" t="n">
        <v>0</v>
      </c>
      <c r="K41" s="24" t="n">
        <v>0</v>
      </c>
      <c r="L41" s="24" t="n">
        <v>0</v>
      </c>
      <c r="M41" s="24" t="n">
        <v>35</v>
      </c>
      <c r="N41" s="24" t="n">
        <v>35</v>
      </c>
      <c r="O41" s="24" t="n">
        <v>0</v>
      </c>
      <c r="P41" s="24" t="n">
        <v>0</v>
      </c>
      <c r="Q41" s="24" t="n">
        <v>0</v>
      </c>
      <c r="R41" s="24" t="n">
        <v>0</v>
      </c>
      <c r="S41" s="24" t="n">
        <v>0</v>
      </c>
      <c r="T41" s="24" t="n">
        <v>44</v>
      </c>
      <c r="U41" s="24" t="n">
        <v>44</v>
      </c>
      <c r="V41" s="24" t="n">
        <v>79</v>
      </c>
      <c r="W41" s="24" t="n">
        <f aca="false">N41+U41</f>
        <v>79</v>
      </c>
      <c r="X41" s="32" t="n">
        <f aca="false">IF(V41&gt;0,W41/V41,0)</f>
        <v>1</v>
      </c>
      <c r="Y41" s="9"/>
    </row>
    <row r="42" customFormat="false" ht="15" hidden="false" customHeight="false" outlineLevel="0" collapsed="false">
      <c r="A42" s="25" t="n">
        <v>2020</v>
      </c>
      <c r="B42" s="9" t="s">
        <v>286</v>
      </c>
      <c r="C42" s="9" t="s">
        <v>194</v>
      </c>
      <c r="D42" s="9" t="str">
        <f aca="false">INDEX(Lookups!$C$5:$C$75,MATCH($C42,Lookups!$A$5:$A$75,0))</f>
        <v>Europe</v>
      </c>
      <c r="E42" s="9" t="str">
        <f aca="false">INDEX(Lookups!$D$5:$D$75,MATCH($C42,Lookups!$A$5:$A$75,0))</f>
        <v>Europe</v>
      </c>
      <c r="F42" s="9" t="str">
        <f aca="false">IF($D42="Latin America &amp; Caribbean","Yes","No")</f>
        <v>No</v>
      </c>
      <c r="G42" s="9" t="str">
        <f aca="false">IF($C42="VEN","In-country record","Abroad")</f>
        <v>Abroad</v>
      </c>
      <c r="H42" s="24" t="n">
        <v>0</v>
      </c>
      <c r="I42" s="24" t="n">
        <v>0</v>
      </c>
      <c r="J42" s="24" t="n">
        <v>0</v>
      </c>
      <c r="K42" s="24" t="n">
        <v>0</v>
      </c>
      <c r="L42" s="24" t="n">
        <v>0</v>
      </c>
      <c r="M42" s="24" t="n">
        <v>0</v>
      </c>
      <c r="N42" s="24" t="n">
        <v>0</v>
      </c>
      <c r="O42" s="24" t="n">
        <v>0</v>
      </c>
      <c r="P42" s="24" t="n">
        <v>0</v>
      </c>
      <c r="Q42" s="24" t="n">
        <v>0</v>
      </c>
      <c r="R42" s="24" t="n">
        <v>0</v>
      </c>
      <c r="S42" s="24" t="n">
        <v>0</v>
      </c>
      <c r="T42" s="24" t="n">
        <v>0</v>
      </c>
      <c r="U42" s="24" t="n">
        <v>0</v>
      </c>
      <c r="V42" s="24" t="n">
        <v>74</v>
      </c>
      <c r="W42" s="24" t="n">
        <f aca="false">N42+U42</f>
        <v>0</v>
      </c>
      <c r="X42" s="32" t="n">
        <f aca="false">IF(V42&gt;0,W42/V42,0)</f>
        <v>0</v>
      </c>
      <c r="Y42" s="9"/>
    </row>
    <row r="43" customFormat="false" ht="15" hidden="false" customHeight="false" outlineLevel="0" collapsed="false">
      <c r="A43" s="25" t="n">
        <v>2020</v>
      </c>
      <c r="B43" s="9" t="s">
        <v>287</v>
      </c>
      <c r="C43" s="9" t="s">
        <v>163</v>
      </c>
      <c r="D43" s="9" t="str">
        <f aca="false">INDEX(Lookups!$C$5:$C$75,MATCH($C43,Lookups!$A$5:$A$75,0))</f>
        <v>Latin America &amp; Caribbean</v>
      </c>
      <c r="E43" s="9" t="str">
        <f aca="false">INDEX(Lookups!$D$5:$D$75,MATCH($C43,Lookups!$A$5:$A$75,0))</f>
        <v>Central America &amp; Mexico</v>
      </c>
      <c r="F43" s="9" t="str">
        <f aca="false">IF($D43="Latin America &amp; Caribbean","Yes","No")</f>
        <v>Yes</v>
      </c>
      <c r="G43" s="9" t="str">
        <f aca="false">IF($C43="VEN","In-country record","Abroad")</f>
        <v>Abroad</v>
      </c>
      <c r="H43" s="24" t="n">
        <v>129</v>
      </c>
      <c r="I43" s="24" t="n">
        <v>287</v>
      </c>
      <c r="J43" s="24" t="n">
        <v>155</v>
      </c>
      <c r="K43" s="24" t="n">
        <v>2700</v>
      </c>
      <c r="L43" s="24" t="n">
        <v>172</v>
      </c>
      <c r="M43" s="24" t="n">
        <v>0</v>
      </c>
      <c r="N43" s="24" t="n">
        <v>3443</v>
      </c>
      <c r="O43" s="24" t="n">
        <v>152</v>
      </c>
      <c r="P43" s="24" t="n">
        <v>283</v>
      </c>
      <c r="Q43" s="24" t="n">
        <v>217</v>
      </c>
      <c r="R43" s="24" t="n">
        <v>3155</v>
      </c>
      <c r="S43" s="24" t="n">
        <v>112</v>
      </c>
      <c r="T43" s="24" t="n">
        <v>0</v>
      </c>
      <c r="U43" s="24" t="n">
        <v>3919</v>
      </c>
      <c r="V43" s="24" t="n">
        <v>102223</v>
      </c>
      <c r="W43" s="24" t="n">
        <f aca="false">N43+U43</f>
        <v>7362</v>
      </c>
      <c r="X43" s="32" t="n">
        <f aca="false">IF(V43&gt;0,W43/V43,0)</f>
        <v>0.0720190172466079</v>
      </c>
      <c r="Y43" s="9" t="s">
        <v>248</v>
      </c>
    </row>
    <row r="44" customFormat="false" ht="15" hidden="false" customHeight="false" outlineLevel="0" collapsed="false">
      <c r="A44" s="25" t="n">
        <v>2020</v>
      </c>
      <c r="B44" s="9" t="s">
        <v>288</v>
      </c>
      <c r="C44" s="9" t="s">
        <v>212</v>
      </c>
      <c r="D44" s="9" t="str">
        <f aca="false">INDEX(Lookups!$C$5:$C$75,MATCH($C44,Lookups!$A$5:$A$75,0))</f>
        <v>Europe</v>
      </c>
      <c r="E44" s="9" t="str">
        <f aca="false">INDEX(Lookups!$D$5:$D$75,MATCH($C44,Lookups!$A$5:$A$75,0))</f>
        <v>Europe</v>
      </c>
      <c r="F44" s="9" t="str">
        <f aca="false">IF($D44="Latin America &amp; Caribbean","Yes","No")</f>
        <v>No</v>
      </c>
      <c r="G44" s="9" t="str">
        <f aca="false">IF($C44="VEN","In-country record","Abroad")</f>
        <v>Abroad</v>
      </c>
      <c r="H44" s="24" t="n">
        <v>0</v>
      </c>
      <c r="I44" s="24" t="n">
        <v>5</v>
      </c>
      <c r="J44" s="24" t="n">
        <v>0</v>
      </c>
      <c r="K44" s="24" t="n">
        <v>0</v>
      </c>
      <c r="L44" s="24" t="n">
        <v>0</v>
      </c>
      <c r="M44" s="24" t="n">
        <v>0</v>
      </c>
      <c r="N44" s="24" t="n">
        <v>5</v>
      </c>
      <c r="O44" s="24" t="n">
        <v>0</v>
      </c>
      <c r="P44" s="24" t="n">
        <v>0</v>
      </c>
      <c r="Q44" s="24" t="n">
        <v>0</v>
      </c>
      <c r="R44" s="24" t="n">
        <v>0</v>
      </c>
      <c r="S44" s="24" t="n">
        <v>0</v>
      </c>
      <c r="T44" s="24" t="n">
        <v>0</v>
      </c>
      <c r="U44" s="24" t="n">
        <v>0</v>
      </c>
      <c r="V44" s="24" t="n">
        <v>5</v>
      </c>
      <c r="W44" s="24" t="n">
        <f aca="false">N44+U44</f>
        <v>5</v>
      </c>
      <c r="X44" s="32" t="n">
        <f aca="false">IF(V44&gt;0,W44/V44,0)</f>
        <v>1</v>
      </c>
      <c r="Y44" s="9"/>
    </row>
    <row r="45" customFormat="false" ht="15" hidden="false" customHeight="false" outlineLevel="0" collapsed="false">
      <c r="A45" s="25" t="n">
        <v>2020</v>
      </c>
      <c r="B45" s="9" t="s">
        <v>289</v>
      </c>
      <c r="C45" s="9" t="s">
        <v>182</v>
      </c>
      <c r="D45" s="9" t="str">
        <f aca="false">INDEX(Lookups!$C$5:$C$75,MATCH($C45,Lookups!$A$5:$A$75,0))</f>
        <v>Europe</v>
      </c>
      <c r="E45" s="9" t="str">
        <f aca="false">INDEX(Lookups!$D$5:$D$75,MATCH($C45,Lookups!$A$5:$A$75,0))</f>
        <v>Europe</v>
      </c>
      <c r="F45" s="9" t="str">
        <f aca="false">IF($D45="Latin America &amp; Caribbean","Yes","No")</f>
        <v>No</v>
      </c>
      <c r="G45" s="9" t="str">
        <f aca="false">IF($C45="VEN","In-country record","Abroad")</f>
        <v>Abroad</v>
      </c>
      <c r="H45" s="24" t="n">
        <v>0</v>
      </c>
      <c r="I45" s="24" t="n">
        <v>0</v>
      </c>
      <c r="J45" s="24" t="n">
        <v>0</v>
      </c>
      <c r="K45" s="24" t="n">
        <v>0</v>
      </c>
      <c r="L45" s="24" t="n">
        <v>0</v>
      </c>
      <c r="M45" s="24" t="n">
        <v>104</v>
      </c>
      <c r="N45" s="24" t="n">
        <v>104</v>
      </c>
      <c r="O45" s="24" t="n">
        <v>0</v>
      </c>
      <c r="P45" s="24" t="n">
        <v>0</v>
      </c>
      <c r="Q45" s="24" t="n">
        <v>0</v>
      </c>
      <c r="R45" s="24" t="n">
        <v>0</v>
      </c>
      <c r="S45" s="24" t="n">
        <v>0</v>
      </c>
      <c r="T45" s="24" t="n">
        <v>93</v>
      </c>
      <c r="U45" s="24" t="n">
        <v>93</v>
      </c>
      <c r="V45" s="24" t="n">
        <v>227</v>
      </c>
      <c r="W45" s="24" t="n">
        <f aca="false">N45+U45</f>
        <v>197</v>
      </c>
      <c r="X45" s="32" t="n">
        <f aca="false">IF(V45&gt;0,W45/V45,0)</f>
        <v>0.86784140969163</v>
      </c>
      <c r="Y45" s="9"/>
    </row>
    <row r="46" customFormat="false" ht="15" hidden="false" customHeight="false" outlineLevel="0" collapsed="false">
      <c r="A46" s="25" t="n">
        <v>2020</v>
      </c>
      <c r="B46" s="9" t="s">
        <v>290</v>
      </c>
      <c r="C46" s="9" t="s">
        <v>189</v>
      </c>
      <c r="D46" s="9" t="str">
        <f aca="false">INDEX(Lookups!$C$5:$C$75,MATCH($C46,Lookups!$A$5:$A$75,0))</f>
        <v>Europe</v>
      </c>
      <c r="E46" s="9" t="str">
        <f aca="false">INDEX(Lookups!$D$5:$D$75,MATCH($C46,Lookups!$A$5:$A$75,0))</f>
        <v>Europe</v>
      </c>
      <c r="F46" s="9" t="str">
        <f aca="false">IF($D46="Latin America &amp; Caribbean","Yes","No")</f>
        <v>No</v>
      </c>
      <c r="G46" s="9" t="str">
        <f aca="false">IF($C46="VEN","In-country record","Abroad")</f>
        <v>Abroad</v>
      </c>
      <c r="H46" s="24" t="n">
        <v>0</v>
      </c>
      <c r="I46" s="24" t="n">
        <v>0</v>
      </c>
      <c r="J46" s="24" t="n">
        <v>0</v>
      </c>
      <c r="K46" s="24" t="n">
        <v>0</v>
      </c>
      <c r="L46" s="24" t="n">
        <v>0</v>
      </c>
      <c r="M46" s="24" t="n">
        <v>0</v>
      </c>
      <c r="N46" s="24" t="n">
        <v>0</v>
      </c>
      <c r="O46" s="24" t="n">
        <v>0</v>
      </c>
      <c r="P46" s="24" t="n">
        <v>0</v>
      </c>
      <c r="Q46" s="24" t="n">
        <v>0</v>
      </c>
      <c r="R46" s="24" t="n">
        <v>0</v>
      </c>
      <c r="S46" s="24" t="n">
        <v>0</v>
      </c>
      <c r="T46" s="24" t="n">
        <v>0</v>
      </c>
      <c r="U46" s="24" t="n">
        <v>0</v>
      </c>
      <c r="V46" s="24" t="n">
        <v>15</v>
      </c>
      <c r="W46" s="24" t="n">
        <f aca="false">N46+U46</f>
        <v>0</v>
      </c>
      <c r="X46" s="32" t="n">
        <f aca="false">IF(V46&gt;0,W46/V46,0)</f>
        <v>0</v>
      </c>
      <c r="Y46" s="9"/>
    </row>
    <row r="47" customFormat="false" ht="15" hidden="false" customHeight="false" outlineLevel="0" collapsed="false">
      <c r="A47" s="25" t="n">
        <v>2020</v>
      </c>
      <c r="B47" s="9" t="s">
        <v>291</v>
      </c>
      <c r="C47" s="9" t="s">
        <v>165</v>
      </c>
      <c r="D47" s="9" t="str">
        <f aca="false">INDEX(Lookups!$C$5:$C$75,MATCH($C47,Lookups!$A$5:$A$75,0))</f>
        <v>Latin America &amp; Caribbean</v>
      </c>
      <c r="E47" s="9" t="str">
        <f aca="false">INDEX(Lookups!$D$5:$D$75,MATCH($C47,Lookups!$A$5:$A$75,0))</f>
        <v>Central America &amp; Mexico</v>
      </c>
      <c r="F47" s="9" t="str">
        <f aca="false">IF($D47="Latin America &amp; Caribbean","Yes","No")</f>
        <v>Yes</v>
      </c>
      <c r="G47" s="9" t="str">
        <f aca="false">IF($C47="VEN","In-country record","Abroad")</f>
        <v>Abroad</v>
      </c>
      <c r="H47" s="24" t="n">
        <v>0</v>
      </c>
      <c r="I47" s="24" t="n">
        <v>0</v>
      </c>
      <c r="J47" s="24" t="n">
        <v>0</v>
      </c>
      <c r="K47" s="24" t="n">
        <v>0</v>
      </c>
      <c r="L47" s="24" t="n">
        <v>0</v>
      </c>
      <c r="M47" s="24" t="n">
        <v>0</v>
      </c>
      <c r="N47" s="24" t="n">
        <v>0</v>
      </c>
      <c r="O47" s="24" t="n">
        <v>0</v>
      </c>
      <c r="P47" s="24" t="n">
        <v>0</v>
      </c>
      <c r="Q47" s="24" t="n">
        <v>0</v>
      </c>
      <c r="R47" s="24" t="n">
        <v>0</v>
      </c>
      <c r="S47" s="24" t="n">
        <v>0</v>
      </c>
      <c r="T47" s="24" t="n">
        <v>0</v>
      </c>
      <c r="U47" s="24" t="n">
        <v>0</v>
      </c>
      <c r="V47" s="24" t="n">
        <v>121598</v>
      </c>
      <c r="W47" s="24" t="n">
        <f aca="false">N47+U47</f>
        <v>0</v>
      </c>
      <c r="X47" s="32" t="n">
        <f aca="false">IF(V47&gt;0,W47/V47,0)</f>
        <v>0</v>
      </c>
      <c r="Y47" s="9" t="s">
        <v>248</v>
      </c>
    </row>
    <row r="48" customFormat="false" ht="15" hidden="false" customHeight="false" outlineLevel="0" collapsed="false">
      <c r="A48" s="25" t="n">
        <v>2020</v>
      </c>
      <c r="B48" s="9" t="s">
        <v>292</v>
      </c>
      <c r="C48" s="9" t="s">
        <v>178</v>
      </c>
      <c r="D48" s="9" t="str">
        <f aca="false">INDEX(Lookups!$C$5:$C$75,MATCH($C48,Lookups!$A$5:$A$75,0))</f>
        <v>Latin America &amp; Caribbean</v>
      </c>
      <c r="E48" s="9" t="str">
        <f aca="false">INDEX(Lookups!$D$5:$D$75,MATCH($C48,Lookups!$A$5:$A$75,0))</f>
        <v>Southern Cone &amp; Brazil</v>
      </c>
      <c r="F48" s="9" t="str">
        <f aca="false">IF($D48="Latin America &amp; Caribbean","Yes","No")</f>
        <v>Yes</v>
      </c>
      <c r="G48" s="9" t="str">
        <f aca="false">IF($C48="VEN","In-country record","Abroad")</f>
        <v>Abroad</v>
      </c>
      <c r="H48" s="24" t="n">
        <v>50</v>
      </c>
      <c r="I48" s="24" t="n">
        <v>86</v>
      </c>
      <c r="J48" s="24" t="n">
        <v>65</v>
      </c>
      <c r="K48" s="24" t="n">
        <v>606</v>
      </c>
      <c r="L48" s="24" t="n">
        <v>33</v>
      </c>
      <c r="M48" s="24" t="n">
        <v>0</v>
      </c>
      <c r="N48" s="24" t="n">
        <v>840</v>
      </c>
      <c r="O48" s="24" t="n">
        <v>58</v>
      </c>
      <c r="P48" s="24" t="n">
        <v>103</v>
      </c>
      <c r="Q48" s="24" t="n">
        <v>59</v>
      </c>
      <c r="R48" s="24" t="n">
        <v>910</v>
      </c>
      <c r="S48" s="24" t="n">
        <v>21</v>
      </c>
      <c r="T48" s="24" t="n">
        <v>0</v>
      </c>
      <c r="U48" s="24" t="n">
        <v>1151</v>
      </c>
      <c r="V48" s="24" t="n">
        <v>4925</v>
      </c>
      <c r="W48" s="24" t="n">
        <f aca="false">N48+U48</f>
        <v>1991</v>
      </c>
      <c r="X48" s="32" t="n">
        <f aca="false">IF(V48&gt;0,W48/V48,0)</f>
        <v>0.404263959390863</v>
      </c>
      <c r="Y48" s="9"/>
    </row>
    <row r="49" customFormat="false" ht="15" hidden="false" customHeight="false" outlineLevel="0" collapsed="false">
      <c r="A49" s="25" t="n">
        <v>2020</v>
      </c>
      <c r="B49" s="9" t="s">
        <v>293</v>
      </c>
      <c r="C49" s="9" t="s">
        <v>156</v>
      </c>
      <c r="D49" s="9" t="str">
        <f aca="false">INDEX(Lookups!$C$5:$C$75,MATCH($C49,Lookups!$A$5:$A$75,0))</f>
        <v>Latin America &amp; Caribbean</v>
      </c>
      <c r="E49" s="9" t="str">
        <f aca="false">INDEX(Lookups!$D$5:$D$75,MATCH($C49,Lookups!$A$5:$A$75,0))</f>
        <v>Andean region</v>
      </c>
      <c r="F49" s="9" t="str">
        <f aca="false">IF($D49="Latin America &amp; Caribbean","Yes","No")</f>
        <v>Yes</v>
      </c>
      <c r="G49" s="9" t="str">
        <f aca="false">IF($C49="VEN","In-country record","Abroad")</f>
        <v>Abroad</v>
      </c>
      <c r="H49" s="24" t="n">
        <v>0</v>
      </c>
      <c r="I49" s="24" t="n">
        <v>0</v>
      </c>
      <c r="J49" s="24" t="n">
        <v>0</v>
      </c>
      <c r="K49" s="24" t="n">
        <v>0</v>
      </c>
      <c r="L49" s="24" t="n">
        <v>0</v>
      </c>
      <c r="M49" s="24" t="n">
        <v>0</v>
      </c>
      <c r="N49" s="24" t="n">
        <v>0</v>
      </c>
      <c r="O49" s="24" t="n">
        <v>0</v>
      </c>
      <c r="P49" s="24" t="n">
        <v>0</v>
      </c>
      <c r="Q49" s="24" t="n">
        <v>0</v>
      </c>
      <c r="R49" s="24" t="n">
        <v>0</v>
      </c>
      <c r="S49" s="24" t="n">
        <v>0</v>
      </c>
      <c r="T49" s="24" t="n">
        <v>0</v>
      </c>
      <c r="U49" s="24" t="n">
        <v>0</v>
      </c>
      <c r="V49" s="24" t="n">
        <v>1049970</v>
      </c>
      <c r="W49" s="24" t="n">
        <f aca="false">N49+U49</f>
        <v>0</v>
      </c>
      <c r="X49" s="32" t="n">
        <f aca="false">IF(V49&gt;0,W49/V49,0)</f>
        <v>0</v>
      </c>
      <c r="Y49" s="9" t="s">
        <v>248</v>
      </c>
    </row>
    <row r="50" customFormat="false" ht="15" hidden="false" customHeight="false" outlineLevel="0" collapsed="false">
      <c r="A50" s="25" t="n">
        <v>2020</v>
      </c>
      <c r="B50" s="9" t="s">
        <v>294</v>
      </c>
      <c r="C50" s="9" t="s">
        <v>196</v>
      </c>
      <c r="D50" s="9" t="str">
        <f aca="false">INDEX(Lookups!$C$5:$C$75,MATCH($C50,Lookups!$A$5:$A$75,0))</f>
        <v>Europe</v>
      </c>
      <c r="E50" s="9" t="str">
        <f aca="false">INDEX(Lookups!$D$5:$D$75,MATCH($C50,Lookups!$A$5:$A$75,0))</f>
        <v>Europe</v>
      </c>
      <c r="F50" s="9" t="str">
        <f aca="false">IF($D50="Latin America &amp; Caribbean","Yes","No")</f>
        <v>No</v>
      </c>
      <c r="G50" s="9" t="str">
        <f aca="false">IF($C50="VEN","In-country record","Abroad")</f>
        <v>Abroad</v>
      </c>
      <c r="H50" s="24" t="n">
        <v>0</v>
      </c>
      <c r="I50" s="24" t="n">
        <v>0</v>
      </c>
      <c r="J50" s="24" t="n">
        <v>0</v>
      </c>
      <c r="K50" s="24" t="n">
        <v>0</v>
      </c>
      <c r="L50" s="24" t="n">
        <v>0</v>
      </c>
      <c r="M50" s="24" t="n">
        <v>0</v>
      </c>
      <c r="N50" s="24" t="n">
        <v>0</v>
      </c>
      <c r="O50" s="24" t="n">
        <v>0</v>
      </c>
      <c r="P50" s="24" t="n">
        <v>0</v>
      </c>
      <c r="Q50" s="24" t="n">
        <v>0</v>
      </c>
      <c r="R50" s="24" t="n">
        <v>0</v>
      </c>
      <c r="S50" s="24" t="n">
        <v>0</v>
      </c>
      <c r="T50" s="24" t="n">
        <v>5</v>
      </c>
      <c r="U50" s="24" t="n">
        <v>5</v>
      </c>
      <c r="V50" s="24" t="n">
        <v>5</v>
      </c>
      <c r="W50" s="24" t="n">
        <f aca="false">N50+U50</f>
        <v>5</v>
      </c>
      <c r="X50" s="32" t="n">
        <f aca="false">IF(V50&gt;0,W50/V50,0)</f>
        <v>1</v>
      </c>
      <c r="Y50" s="9"/>
    </row>
    <row r="51" customFormat="false" ht="15" hidden="false" customHeight="false" outlineLevel="0" collapsed="false">
      <c r="A51" s="25" t="n">
        <v>2020</v>
      </c>
      <c r="B51" s="9" t="s">
        <v>295</v>
      </c>
      <c r="C51" s="9" t="s">
        <v>185</v>
      </c>
      <c r="D51" s="9" t="str">
        <f aca="false">INDEX(Lookups!$C$5:$C$75,MATCH($C51,Lookups!$A$5:$A$75,0))</f>
        <v>Europe</v>
      </c>
      <c r="E51" s="9" t="str">
        <f aca="false">INDEX(Lookups!$D$5:$D$75,MATCH($C51,Lookups!$A$5:$A$75,0))</f>
        <v>Europe</v>
      </c>
      <c r="F51" s="9" t="str">
        <f aca="false">IF($D51="Latin America &amp; Caribbean","Yes","No")</f>
        <v>No</v>
      </c>
      <c r="G51" s="9" t="str">
        <f aca="false">IF($C51="VEN","In-country record","Abroad")</f>
        <v>Abroad</v>
      </c>
      <c r="H51" s="24" t="n">
        <v>0</v>
      </c>
      <c r="I51" s="24" t="n">
        <v>0</v>
      </c>
      <c r="J51" s="24" t="n">
        <v>0</v>
      </c>
      <c r="K51" s="24" t="n">
        <v>0</v>
      </c>
      <c r="L51" s="24" t="n">
        <v>0</v>
      </c>
      <c r="M51" s="24" t="n">
        <v>24</v>
      </c>
      <c r="N51" s="24" t="n">
        <v>24</v>
      </c>
      <c r="O51" s="24" t="n">
        <v>0</v>
      </c>
      <c r="P51" s="24" t="n">
        <v>0</v>
      </c>
      <c r="Q51" s="24" t="n">
        <v>0</v>
      </c>
      <c r="R51" s="24" t="n">
        <v>0</v>
      </c>
      <c r="S51" s="24" t="n">
        <v>0</v>
      </c>
      <c r="T51" s="24" t="n">
        <v>52</v>
      </c>
      <c r="U51" s="24" t="n">
        <v>52</v>
      </c>
      <c r="V51" s="24" t="n">
        <v>76</v>
      </c>
      <c r="W51" s="24" t="n">
        <f aca="false">N51+U51</f>
        <v>76</v>
      </c>
      <c r="X51" s="32" t="n">
        <f aca="false">IF(V51&gt;0,W51/V51,0)</f>
        <v>1</v>
      </c>
      <c r="Y51" s="9"/>
    </row>
    <row r="52" customFormat="false" ht="15" hidden="false" customHeight="false" outlineLevel="0" collapsed="false">
      <c r="A52" s="25" t="n">
        <v>2020</v>
      </c>
      <c r="B52" s="9" t="s">
        <v>296</v>
      </c>
      <c r="C52" s="9" t="s">
        <v>216</v>
      </c>
      <c r="D52" s="9" t="str">
        <f aca="false">INDEX(Lookups!$C$5:$C$75,MATCH($C52,Lookups!$A$5:$A$75,0))</f>
        <v>Latin America &amp; Caribbean</v>
      </c>
      <c r="E52" s="9" t="str">
        <f aca="false">INDEX(Lookups!$D$5:$D$75,MATCH($C52,Lookups!$A$5:$A$75,0))</f>
        <v>Caribbean &amp; Guianas</v>
      </c>
      <c r="F52" s="9" t="str">
        <f aca="false">IF($D52="Latin America &amp; Caribbean","Yes","No")</f>
        <v>Yes</v>
      </c>
      <c r="G52" s="9" t="str">
        <f aca="false">IF($C52="VEN","In-country record","Abroad")</f>
        <v>Abroad</v>
      </c>
      <c r="H52" s="24" t="n">
        <v>0</v>
      </c>
      <c r="I52" s="24" t="n">
        <v>0</v>
      </c>
      <c r="J52" s="24" t="n">
        <v>0</v>
      </c>
      <c r="K52" s="24" t="n">
        <v>0</v>
      </c>
      <c r="L52" s="24" t="n">
        <v>0</v>
      </c>
      <c r="M52" s="24" t="n">
        <v>0</v>
      </c>
      <c r="N52" s="24" t="n">
        <v>0</v>
      </c>
      <c r="O52" s="24" t="n">
        <v>0</v>
      </c>
      <c r="P52" s="24" t="n">
        <v>0</v>
      </c>
      <c r="Q52" s="24" t="n">
        <v>0</v>
      </c>
      <c r="R52" s="24" t="n">
        <v>0</v>
      </c>
      <c r="S52" s="24" t="n">
        <v>0</v>
      </c>
      <c r="T52" s="24" t="n">
        <v>0</v>
      </c>
      <c r="U52" s="24" t="n">
        <v>0</v>
      </c>
      <c r="V52" s="24" t="n">
        <v>19</v>
      </c>
      <c r="W52" s="24" t="n">
        <f aca="false">N52+U52</f>
        <v>0</v>
      </c>
      <c r="X52" s="32" t="n">
        <f aca="false">IF(V52&gt;0,W52/V52,0)</f>
        <v>0</v>
      </c>
      <c r="Y52" s="9"/>
    </row>
    <row r="53" customFormat="false" ht="15" hidden="false" customHeight="false" outlineLevel="0" collapsed="false">
      <c r="A53" s="25" t="n">
        <v>2020</v>
      </c>
      <c r="B53" s="9" t="s">
        <v>297</v>
      </c>
      <c r="C53" s="9" t="s">
        <v>215</v>
      </c>
      <c r="D53" s="9" t="str">
        <f aca="false">INDEX(Lookups!$C$5:$C$75,MATCH($C53,Lookups!$A$5:$A$75,0))</f>
        <v>Latin America &amp; Caribbean</v>
      </c>
      <c r="E53" s="9" t="str">
        <f aca="false">INDEX(Lookups!$D$5:$D$75,MATCH($C53,Lookups!$A$5:$A$75,0))</f>
        <v>Caribbean &amp; Guianas</v>
      </c>
      <c r="F53" s="9" t="str">
        <f aca="false">IF($D53="Latin America &amp; Caribbean","Yes","No")</f>
        <v>Yes</v>
      </c>
      <c r="G53" s="9" t="str">
        <f aca="false">IF($C53="VEN","In-country record","Abroad")</f>
        <v>Abroad</v>
      </c>
      <c r="H53" s="24" t="n">
        <v>0</v>
      </c>
      <c r="I53" s="24" t="n">
        <v>0</v>
      </c>
      <c r="J53" s="24" t="n">
        <v>0</v>
      </c>
      <c r="K53" s="24" t="n">
        <v>0</v>
      </c>
      <c r="L53" s="24" t="n">
        <v>0</v>
      </c>
      <c r="M53" s="24" t="n">
        <v>0</v>
      </c>
      <c r="N53" s="24" t="n">
        <v>0</v>
      </c>
      <c r="O53" s="24" t="n">
        <v>0</v>
      </c>
      <c r="P53" s="24" t="n">
        <v>0</v>
      </c>
      <c r="Q53" s="24" t="n">
        <v>0</v>
      </c>
      <c r="R53" s="24" t="n">
        <v>0</v>
      </c>
      <c r="S53" s="24" t="n">
        <v>0</v>
      </c>
      <c r="T53" s="24" t="n">
        <v>0</v>
      </c>
      <c r="U53" s="24" t="n">
        <v>0</v>
      </c>
      <c r="V53" s="24" t="n">
        <v>14</v>
      </c>
      <c r="W53" s="24" t="n">
        <f aca="false">N53+U53</f>
        <v>0</v>
      </c>
      <c r="X53" s="32" t="n">
        <f aca="false">IF(V53&gt;0,W53/V53,0)</f>
        <v>0</v>
      </c>
      <c r="Y53" s="9"/>
    </row>
    <row r="54" customFormat="false" ht="15" hidden="false" customHeight="false" outlineLevel="0" collapsed="false">
      <c r="A54" s="25" t="n">
        <v>2020</v>
      </c>
      <c r="B54" s="9" t="s">
        <v>298</v>
      </c>
      <c r="C54" s="9" t="s">
        <v>191</v>
      </c>
      <c r="D54" s="9" t="str">
        <f aca="false">INDEX(Lookups!$C$5:$C$75,MATCH($C54,Lookups!$A$5:$A$75,0))</f>
        <v>Latin America &amp; Caribbean</v>
      </c>
      <c r="E54" s="9" t="str">
        <f aca="false">INDEX(Lookups!$D$5:$D$75,MATCH($C54,Lookups!$A$5:$A$75,0))</f>
        <v>Caribbean &amp; Guianas</v>
      </c>
      <c r="F54" s="9" t="str">
        <f aca="false">IF($D54="Latin America &amp; Caribbean","Yes","No")</f>
        <v>Yes</v>
      </c>
      <c r="G54" s="9" t="str">
        <f aca="false">IF($C54="VEN","In-country record","Abroad")</f>
        <v>Abroad</v>
      </c>
      <c r="H54" s="24" t="n">
        <v>0</v>
      </c>
      <c r="I54" s="24" t="n">
        <v>0</v>
      </c>
      <c r="J54" s="24" t="n">
        <v>0</v>
      </c>
      <c r="K54" s="24" t="n">
        <v>0</v>
      </c>
      <c r="L54" s="24" t="n">
        <v>0</v>
      </c>
      <c r="M54" s="24" t="n">
        <v>0</v>
      </c>
      <c r="N54" s="24" t="n">
        <v>0</v>
      </c>
      <c r="O54" s="24" t="n">
        <v>0</v>
      </c>
      <c r="P54" s="24" t="n">
        <v>0</v>
      </c>
      <c r="Q54" s="24" t="n">
        <v>0</v>
      </c>
      <c r="R54" s="24" t="n">
        <v>0</v>
      </c>
      <c r="S54" s="24" t="n">
        <v>0</v>
      </c>
      <c r="T54" s="24" t="n">
        <v>0</v>
      </c>
      <c r="U54" s="24" t="n">
        <v>0</v>
      </c>
      <c r="V54" s="24" t="n">
        <v>8</v>
      </c>
      <c r="W54" s="24" t="n">
        <f aca="false">N54+U54</f>
        <v>0</v>
      </c>
      <c r="X54" s="32" t="n">
        <f aca="false">IF(V54&gt;0,W54/V54,0)</f>
        <v>0</v>
      </c>
      <c r="Y54" s="9"/>
    </row>
    <row r="55" customFormat="false" ht="15" hidden="false" customHeight="false" outlineLevel="0" collapsed="false">
      <c r="A55" s="25" t="n">
        <v>2020</v>
      </c>
      <c r="B55" s="9" t="s">
        <v>299</v>
      </c>
      <c r="C55" s="9" t="s">
        <v>224</v>
      </c>
      <c r="D55" s="9" t="str">
        <f aca="false">INDEX(Lookups!$C$5:$C$75,MATCH($C55,Lookups!$A$5:$A$75,0))</f>
        <v>Other regions</v>
      </c>
      <c r="E55" s="9" t="str">
        <f aca="false">INDEX(Lookups!$D$5:$D$75,MATCH($C55,Lookups!$A$5:$A$75,0))</f>
        <v>Rest of world</v>
      </c>
      <c r="F55" s="9" t="str">
        <f aca="false">IF($D55="Latin America &amp; Caribbean","Yes","No")</f>
        <v>No</v>
      </c>
      <c r="G55" s="9" t="str">
        <f aca="false">IF($C55="VEN","In-country record","Abroad")</f>
        <v>Abroad</v>
      </c>
      <c r="H55" s="24" t="n">
        <v>0</v>
      </c>
      <c r="I55" s="24" t="n">
        <v>0</v>
      </c>
      <c r="J55" s="24" t="n">
        <v>0</v>
      </c>
      <c r="K55" s="24" t="n">
        <v>0</v>
      </c>
      <c r="L55" s="24" t="n">
        <v>0</v>
      </c>
      <c r="M55" s="24" t="n">
        <v>0</v>
      </c>
      <c r="N55" s="24" t="n">
        <v>0</v>
      </c>
      <c r="O55" s="24" t="n">
        <v>0</v>
      </c>
      <c r="P55" s="24" t="n">
        <v>0</v>
      </c>
      <c r="Q55" s="24" t="n">
        <v>0</v>
      </c>
      <c r="R55" s="24" t="n">
        <v>0</v>
      </c>
      <c r="S55" s="24" t="n">
        <v>0</v>
      </c>
      <c r="T55" s="24" t="n">
        <v>0</v>
      </c>
      <c r="U55" s="24" t="n">
        <v>0</v>
      </c>
      <c r="V55" s="24" t="n">
        <v>11</v>
      </c>
      <c r="W55" s="24" t="n">
        <f aca="false">N55+U55</f>
        <v>0</v>
      </c>
      <c r="X55" s="32" t="n">
        <f aca="false">IF(V55&gt;0,W55/V55,0)</f>
        <v>0</v>
      </c>
      <c r="Y55" s="9"/>
    </row>
    <row r="56" customFormat="false" ht="15" hidden="false" customHeight="false" outlineLevel="0" collapsed="false">
      <c r="A56" s="25" t="n">
        <v>2020</v>
      </c>
      <c r="B56" s="9" t="s">
        <v>300</v>
      </c>
      <c r="C56" s="9" t="s">
        <v>161</v>
      </c>
      <c r="D56" s="9" t="str">
        <f aca="false">INDEX(Lookups!$C$5:$C$75,MATCH($C56,Lookups!$A$5:$A$75,0))</f>
        <v>Europe</v>
      </c>
      <c r="E56" s="9" t="str">
        <f aca="false">INDEX(Lookups!$D$5:$D$75,MATCH($C56,Lookups!$A$5:$A$75,0))</f>
        <v>Europe</v>
      </c>
      <c r="F56" s="9" t="str">
        <f aca="false">IF($D56="Latin America &amp; Caribbean","Yes","No")</f>
        <v>No</v>
      </c>
      <c r="G56" s="9" t="str">
        <f aca="false">IF($C56="VEN","In-country record","Abroad")</f>
        <v>Abroad</v>
      </c>
      <c r="H56" s="24" t="n">
        <v>0</v>
      </c>
      <c r="I56" s="24" t="n">
        <v>0</v>
      </c>
      <c r="J56" s="24" t="n">
        <v>0</v>
      </c>
      <c r="K56" s="24" t="n">
        <v>0</v>
      </c>
      <c r="L56" s="24" t="n">
        <v>0</v>
      </c>
      <c r="M56" s="24" t="n">
        <v>8579</v>
      </c>
      <c r="N56" s="24" t="n">
        <v>8579</v>
      </c>
      <c r="O56" s="24" t="n">
        <v>0</v>
      </c>
      <c r="P56" s="24" t="n">
        <v>0</v>
      </c>
      <c r="Q56" s="24" t="n">
        <v>0</v>
      </c>
      <c r="R56" s="24" t="n">
        <v>0</v>
      </c>
      <c r="S56" s="24" t="n">
        <v>0</v>
      </c>
      <c r="T56" s="24" t="n">
        <v>10486</v>
      </c>
      <c r="U56" s="24" t="n">
        <v>10486</v>
      </c>
      <c r="V56" s="24" t="n">
        <v>94705</v>
      </c>
      <c r="W56" s="24" t="n">
        <f aca="false">N56+U56</f>
        <v>19065</v>
      </c>
      <c r="X56" s="32" t="n">
        <f aca="false">IF(V56&gt;0,W56/V56,0)</f>
        <v>0.201309328968903</v>
      </c>
      <c r="Y56" s="9" t="s">
        <v>301</v>
      </c>
    </row>
    <row r="57" customFormat="false" ht="15" hidden="false" customHeight="false" outlineLevel="0" collapsed="false">
      <c r="A57" s="25" t="n">
        <v>2020</v>
      </c>
      <c r="B57" s="9" t="s">
        <v>302</v>
      </c>
      <c r="C57" s="9" t="s">
        <v>183</v>
      </c>
      <c r="D57" s="9" t="str">
        <f aca="false">INDEX(Lookups!$C$5:$C$75,MATCH($C57,Lookups!$A$5:$A$75,0))</f>
        <v>Latin America &amp; Caribbean</v>
      </c>
      <c r="E57" s="9" t="str">
        <f aca="false">INDEX(Lookups!$D$5:$D$75,MATCH($C57,Lookups!$A$5:$A$75,0))</f>
        <v>Caribbean &amp; Guianas</v>
      </c>
      <c r="F57" s="9" t="str">
        <f aca="false">IF($D57="Latin America &amp; Caribbean","Yes","No")</f>
        <v>Yes</v>
      </c>
      <c r="G57" s="9" t="str">
        <f aca="false">IF($C57="VEN","In-country record","Abroad")</f>
        <v>Abroad</v>
      </c>
      <c r="H57" s="24" t="n">
        <v>0</v>
      </c>
      <c r="I57" s="24" t="n">
        <v>0</v>
      </c>
      <c r="J57" s="24" t="n">
        <v>0</v>
      </c>
      <c r="K57" s="24" t="n">
        <v>0</v>
      </c>
      <c r="L57" s="24" t="n">
        <v>0</v>
      </c>
      <c r="M57" s="24" t="n">
        <v>0</v>
      </c>
      <c r="N57" s="24" t="n">
        <v>0</v>
      </c>
      <c r="O57" s="24" t="n">
        <v>0</v>
      </c>
      <c r="P57" s="24" t="n">
        <v>0</v>
      </c>
      <c r="Q57" s="24" t="n">
        <v>0</v>
      </c>
      <c r="R57" s="24" t="n">
        <v>0</v>
      </c>
      <c r="S57" s="24" t="n">
        <v>0</v>
      </c>
      <c r="T57" s="24" t="n">
        <v>0</v>
      </c>
      <c r="U57" s="24" t="n">
        <v>0</v>
      </c>
      <c r="V57" s="24" t="n">
        <v>279</v>
      </c>
      <c r="W57" s="24" t="n">
        <f aca="false">N57+U57</f>
        <v>0</v>
      </c>
      <c r="X57" s="32" t="n">
        <f aca="false">IF(V57&gt;0,W57/V57,0)</f>
        <v>0</v>
      </c>
      <c r="Y57" s="9"/>
    </row>
    <row r="58" customFormat="false" ht="15" hidden="false" customHeight="false" outlineLevel="0" collapsed="false">
      <c r="A58" s="25" t="n">
        <v>2020</v>
      </c>
      <c r="B58" s="9" t="s">
        <v>303</v>
      </c>
      <c r="C58" s="9" t="s">
        <v>193</v>
      </c>
      <c r="D58" s="9" t="str">
        <f aca="false">INDEX(Lookups!$C$5:$C$75,MATCH($C58,Lookups!$A$5:$A$75,0))</f>
        <v>Europe</v>
      </c>
      <c r="E58" s="9" t="str">
        <f aca="false">INDEX(Lookups!$D$5:$D$75,MATCH($C58,Lookups!$A$5:$A$75,0))</f>
        <v>Europe</v>
      </c>
      <c r="F58" s="9" t="str">
        <f aca="false">IF($D58="Latin America &amp; Caribbean","Yes","No")</f>
        <v>No</v>
      </c>
      <c r="G58" s="9" t="str">
        <f aca="false">IF($C58="VEN","In-country record","Abroad")</f>
        <v>Abroad</v>
      </c>
      <c r="H58" s="24" t="n">
        <v>0</v>
      </c>
      <c r="I58" s="24" t="n">
        <v>0</v>
      </c>
      <c r="J58" s="24" t="n">
        <v>0</v>
      </c>
      <c r="K58" s="24" t="n">
        <v>0</v>
      </c>
      <c r="L58" s="24" t="n">
        <v>0</v>
      </c>
      <c r="M58" s="24" t="n">
        <v>37</v>
      </c>
      <c r="N58" s="24" t="n">
        <v>37</v>
      </c>
      <c r="O58" s="24" t="n">
        <v>0</v>
      </c>
      <c r="P58" s="24" t="n">
        <v>0</v>
      </c>
      <c r="Q58" s="24" t="n">
        <v>0</v>
      </c>
      <c r="R58" s="24" t="n">
        <v>0</v>
      </c>
      <c r="S58" s="24" t="n">
        <v>0</v>
      </c>
      <c r="T58" s="24" t="n">
        <v>57</v>
      </c>
      <c r="U58" s="24" t="n">
        <v>57</v>
      </c>
      <c r="V58" s="24" t="n">
        <v>122</v>
      </c>
      <c r="W58" s="24" t="n">
        <f aca="false">N58+U58</f>
        <v>94</v>
      </c>
      <c r="X58" s="32" t="n">
        <f aca="false">IF(V58&gt;0,W58/V58,0)</f>
        <v>0.770491803278689</v>
      </c>
      <c r="Y58" s="9"/>
    </row>
    <row r="59" customFormat="false" ht="15" hidden="false" customHeight="false" outlineLevel="0" collapsed="false">
      <c r="A59" s="25" t="n">
        <v>2020</v>
      </c>
      <c r="B59" s="9" t="s">
        <v>304</v>
      </c>
      <c r="C59" s="9" t="s">
        <v>188</v>
      </c>
      <c r="D59" s="9" t="str">
        <f aca="false">INDEX(Lookups!$C$5:$C$75,MATCH($C59,Lookups!$A$5:$A$75,0))</f>
        <v>Europe</v>
      </c>
      <c r="E59" s="9" t="str">
        <f aca="false">INDEX(Lookups!$D$5:$D$75,MATCH($C59,Lookups!$A$5:$A$75,0))</f>
        <v>Europe</v>
      </c>
      <c r="F59" s="9" t="str">
        <f aca="false">IF($D59="Latin America &amp; Caribbean","Yes","No")</f>
        <v>No</v>
      </c>
      <c r="G59" s="9" t="str">
        <f aca="false">IF($C59="VEN","In-country record","Abroad")</f>
        <v>Abroad</v>
      </c>
      <c r="H59" s="24" t="n">
        <v>0</v>
      </c>
      <c r="I59" s="24" t="n">
        <v>0</v>
      </c>
      <c r="J59" s="24" t="n">
        <v>0</v>
      </c>
      <c r="K59" s="24" t="n">
        <v>11</v>
      </c>
      <c r="L59" s="24" t="n">
        <v>10</v>
      </c>
      <c r="M59" s="24" t="n">
        <v>0</v>
      </c>
      <c r="N59" s="24" t="n">
        <v>21</v>
      </c>
      <c r="O59" s="24" t="n">
        <v>0</v>
      </c>
      <c r="P59" s="24" t="n">
        <v>0</v>
      </c>
      <c r="Q59" s="24" t="n">
        <v>0</v>
      </c>
      <c r="R59" s="24" t="n">
        <v>27</v>
      </c>
      <c r="S59" s="24" t="n">
        <v>0</v>
      </c>
      <c r="T59" s="24" t="n">
        <v>0</v>
      </c>
      <c r="U59" s="24" t="n">
        <v>27</v>
      </c>
      <c r="V59" s="24" t="n">
        <v>62</v>
      </c>
      <c r="W59" s="24" t="n">
        <f aca="false">N59+U59</f>
        <v>48</v>
      </c>
      <c r="X59" s="32" t="n">
        <f aca="false">IF(V59&gt;0,W59/V59,0)</f>
        <v>0.774193548387097</v>
      </c>
      <c r="Y59" s="9"/>
    </row>
    <row r="60" customFormat="false" ht="15" hidden="false" customHeight="false" outlineLevel="0" collapsed="false">
      <c r="A60" s="25" t="n">
        <v>2020</v>
      </c>
      <c r="B60" s="9" t="s">
        <v>305</v>
      </c>
      <c r="C60" s="9" t="s">
        <v>167</v>
      </c>
      <c r="D60" s="9" t="str">
        <f aca="false">INDEX(Lookups!$C$5:$C$75,MATCH($C60,Lookups!$A$5:$A$75,0))</f>
        <v>Latin America &amp; Caribbean</v>
      </c>
      <c r="E60" s="9" t="str">
        <f aca="false">INDEX(Lookups!$D$5:$D$75,MATCH($C60,Lookups!$A$5:$A$75,0))</f>
        <v>Caribbean &amp; Guianas</v>
      </c>
      <c r="F60" s="9" t="str">
        <f aca="false">IF($D60="Latin America &amp; Caribbean","Yes","No")</f>
        <v>Yes</v>
      </c>
      <c r="G60" s="9" t="str">
        <f aca="false">IF($C60="VEN","In-country record","Abroad")</f>
        <v>Abroad</v>
      </c>
      <c r="H60" s="24" t="n">
        <v>0</v>
      </c>
      <c r="I60" s="24" t="n">
        <v>0</v>
      </c>
      <c r="J60" s="24" t="n">
        <v>0</v>
      </c>
      <c r="K60" s="24" t="n">
        <v>0</v>
      </c>
      <c r="L60" s="24" t="n">
        <v>0</v>
      </c>
      <c r="M60" s="24" t="n">
        <v>0</v>
      </c>
      <c r="N60" s="24" t="n">
        <v>0</v>
      </c>
      <c r="O60" s="24" t="n">
        <v>0</v>
      </c>
      <c r="P60" s="24" t="n">
        <v>0</v>
      </c>
      <c r="Q60" s="24" t="n">
        <v>0</v>
      </c>
      <c r="R60" s="24" t="n">
        <v>0</v>
      </c>
      <c r="S60" s="24" t="n">
        <v>0</v>
      </c>
      <c r="T60" s="24" t="n">
        <v>0</v>
      </c>
      <c r="U60" s="24" t="n">
        <v>0</v>
      </c>
      <c r="V60" s="24" t="n">
        <v>24168</v>
      </c>
      <c r="W60" s="24" t="n">
        <f aca="false">N60+U60</f>
        <v>0</v>
      </c>
      <c r="X60" s="32" t="n">
        <f aca="false">IF(V60&gt;0,W60/V60,0)</f>
        <v>0</v>
      </c>
      <c r="Y60" s="9" t="s">
        <v>248</v>
      </c>
    </row>
    <row r="61" customFormat="false" ht="15" hidden="false" customHeight="false" outlineLevel="0" collapsed="false">
      <c r="A61" s="25" t="n">
        <v>2020</v>
      </c>
      <c r="B61" s="9" t="s">
        <v>306</v>
      </c>
      <c r="C61" s="9" t="s">
        <v>192</v>
      </c>
      <c r="D61" s="9" t="str">
        <f aca="false">INDEX(Lookups!$C$5:$C$75,MATCH($C61,Lookups!$A$5:$A$75,0))</f>
        <v>Europe</v>
      </c>
      <c r="E61" s="9" t="str">
        <f aca="false">INDEX(Lookups!$D$5:$D$75,MATCH($C61,Lookups!$A$5:$A$75,0))</f>
        <v>Europe</v>
      </c>
      <c r="F61" s="9" t="str">
        <f aca="false">IF($D61="Latin America &amp; Caribbean","Yes","No")</f>
        <v>No</v>
      </c>
      <c r="G61" s="9" t="str">
        <f aca="false">IF($C61="VEN","In-country record","Abroad")</f>
        <v>Abroad</v>
      </c>
      <c r="H61" s="24" t="n">
        <v>0</v>
      </c>
      <c r="I61" s="24" t="n">
        <v>0</v>
      </c>
      <c r="J61" s="24" t="n">
        <v>0</v>
      </c>
      <c r="K61" s="24" t="n">
        <v>0</v>
      </c>
      <c r="L61" s="24" t="n">
        <v>0</v>
      </c>
      <c r="M61" s="24" t="n">
        <v>13</v>
      </c>
      <c r="N61" s="24" t="n">
        <v>13</v>
      </c>
      <c r="O61" s="24" t="n">
        <v>0</v>
      </c>
      <c r="P61" s="24" t="n">
        <v>0</v>
      </c>
      <c r="Q61" s="24" t="n">
        <v>0</v>
      </c>
      <c r="R61" s="24" t="n">
        <v>0</v>
      </c>
      <c r="S61" s="24" t="n">
        <v>0</v>
      </c>
      <c r="T61" s="24" t="n">
        <v>28</v>
      </c>
      <c r="U61" s="24" t="n">
        <v>28</v>
      </c>
      <c r="V61" s="24" t="n">
        <v>102</v>
      </c>
      <c r="W61" s="24" t="n">
        <f aca="false">N61+U61</f>
        <v>41</v>
      </c>
      <c r="X61" s="32" t="n">
        <f aca="false">IF(V61&gt;0,W61/V61,0)</f>
        <v>0.401960784313726</v>
      </c>
      <c r="Y61" s="9"/>
    </row>
    <row r="62" customFormat="false" ht="15" hidden="false" customHeight="false" outlineLevel="0" collapsed="false">
      <c r="A62" s="25" t="n">
        <v>2020</v>
      </c>
      <c r="B62" s="9" t="s">
        <v>307</v>
      </c>
      <c r="C62" s="9" t="s">
        <v>160</v>
      </c>
      <c r="D62" s="9" t="str">
        <f aca="false">INDEX(Lookups!$C$5:$C$75,MATCH($C62,Lookups!$A$5:$A$75,0))</f>
        <v>North America</v>
      </c>
      <c r="E62" s="9" t="str">
        <f aca="false">INDEX(Lookups!$D$5:$D$75,MATCH($C62,Lookups!$A$5:$A$75,0))</f>
        <v>North America</v>
      </c>
      <c r="F62" s="9" t="str">
        <f aca="false">IF($D62="Latin America &amp; Caribbean","Yes","No")</f>
        <v>No</v>
      </c>
      <c r="G62" s="9" t="str">
        <f aca="false">IF($C62="VEN","In-country record","Abroad")</f>
        <v>Abroad</v>
      </c>
      <c r="H62" s="24" t="n">
        <v>0</v>
      </c>
      <c r="I62" s="24" t="n">
        <v>0</v>
      </c>
      <c r="J62" s="24" t="n">
        <v>0</v>
      </c>
      <c r="K62" s="24" t="n">
        <v>0</v>
      </c>
      <c r="L62" s="24" t="n">
        <v>0</v>
      </c>
      <c r="M62" s="24" t="n">
        <v>0</v>
      </c>
      <c r="N62" s="24" t="n">
        <v>0</v>
      </c>
      <c r="O62" s="24" t="n">
        <v>0</v>
      </c>
      <c r="P62" s="24" t="n">
        <v>0</v>
      </c>
      <c r="Q62" s="24" t="n">
        <v>0</v>
      </c>
      <c r="R62" s="24" t="n">
        <v>0</v>
      </c>
      <c r="S62" s="24" t="n">
        <v>0</v>
      </c>
      <c r="T62" s="24" t="n">
        <v>0</v>
      </c>
      <c r="U62" s="24" t="n">
        <v>0</v>
      </c>
      <c r="V62" s="24" t="n">
        <v>146959</v>
      </c>
      <c r="W62" s="24" t="n">
        <f aca="false">N62+U62</f>
        <v>0</v>
      </c>
      <c r="X62" s="32" t="n">
        <f aca="false">IF(V62&gt;0,W62/V62,0)</f>
        <v>0</v>
      </c>
      <c r="Y62" s="9" t="s">
        <v>248</v>
      </c>
    </row>
    <row r="63" customFormat="false" ht="15" hidden="false" customHeight="false" outlineLevel="0" collapsed="false">
      <c r="A63" s="25" t="n">
        <v>2020</v>
      </c>
      <c r="B63" s="9" t="s">
        <v>308</v>
      </c>
      <c r="C63" s="9" t="s">
        <v>168</v>
      </c>
      <c r="D63" s="9" t="str">
        <f aca="false">INDEX(Lookups!$C$5:$C$75,MATCH($C63,Lookups!$A$5:$A$75,0))</f>
        <v>Latin America &amp; Caribbean</v>
      </c>
      <c r="E63" s="9" t="str">
        <f aca="false">INDEX(Lookups!$D$5:$D$75,MATCH($C63,Lookups!$A$5:$A$75,0))</f>
        <v>Southern Cone &amp; Brazil</v>
      </c>
      <c r="F63" s="9" t="str">
        <f aca="false">IF($D63="Latin America &amp; Caribbean","Yes","No")</f>
        <v>Yes</v>
      </c>
      <c r="G63" s="9" t="str">
        <f aca="false">IF($C63="VEN","In-country record","Abroad")</f>
        <v>Abroad</v>
      </c>
      <c r="H63" s="24" t="n">
        <v>39</v>
      </c>
      <c r="I63" s="24" t="n">
        <v>64</v>
      </c>
      <c r="J63" s="24" t="n">
        <v>24</v>
      </c>
      <c r="K63" s="24" t="n">
        <v>228</v>
      </c>
      <c r="L63" s="24" t="n">
        <v>22</v>
      </c>
      <c r="M63" s="24" t="n">
        <v>0</v>
      </c>
      <c r="N63" s="24" t="n">
        <v>377</v>
      </c>
      <c r="O63" s="24" t="n">
        <v>41</v>
      </c>
      <c r="P63" s="24" t="n">
        <v>79</v>
      </c>
      <c r="Q63" s="24" t="n">
        <v>31</v>
      </c>
      <c r="R63" s="24" t="n">
        <v>321</v>
      </c>
      <c r="S63" s="24" t="n">
        <v>12</v>
      </c>
      <c r="T63" s="24" t="n">
        <v>0</v>
      </c>
      <c r="U63" s="24" t="n">
        <v>484</v>
      </c>
      <c r="V63" s="24" t="n">
        <v>14924</v>
      </c>
      <c r="W63" s="24" t="n">
        <f aca="false">N63+U63</f>
        <v>861</v>
      </c>
      <c r="X63" s="32" t="n">
        <f aca="false">IF(V63&gt;0,W63/V63,0)</f>
        <v>0.0576923076923077</v>
      </c>
      <c r="Y63" s="9" t="s">
        <v>248</v>
      </c>
    </row>
    <row r="64" customFormat="false" ht="15" hidden="false" customHeight="false" outlineLevel="0" collapsed="false">
      <c r="A64" s="25" t="n">
        <v>2020</v>
      </c>
      <c r="B64" s="9" t="s">
        <v>309</v>
      </c>
      <c r="C64" s="9" t="s">
        <v>310</v>
      </c>
      <c r="D64" s="9" t="str">
        <f aca="false">INDEX(Lookups!$C$5:$C$75,MATCH($C64,Lookups!$A$5:$A$75,0))</f>
        <v>Venezuela (in-country record)</v>
      </c>
      <c r="E64" s="9" t="str">
        <f aca="false">INDEX(Lookups!$D$5:$D$75,MATCH($C64,Lookups!$A$5:$A$75,0))</f>
        <v>Venezuela (in-country record)</v>
      </c>
      <c r="F64" s="9" t="str">
        <f aca="false">IF($D64="Latin America &amp; Caribbean","Yes","No")</f>
        <v>No</v>
      </c>
      <c r="G64" s="9" t="str">
        <f aca="false">IF($C64="VEN","In-country record","Abroad")</f>
        <v>In-country record</v>
      </c>
      <c r="H64" s="24" t="n">
        <v>39179</v>
      </c>
      <c r="I64" s="24" t="n">
        <v>57065</v>
      </c>
      <c r="J64" s="24" t="n">
        <v>95084</v>
      </c>
      <c r="K64" s="24" t="n">
        <v>405511</v>
      </c>
      <c r="L64" s="24" t="n">
        <v>44397</v>
      </c>
      <c r="M64" s="24" t="n">
        <v>0</v>
      </c>
      <c r="N64" s="24" t="n">
        <v>641236</v>
      </c>
      <c r="O64" s="24" t="n">
        <v>36915</v>
      </c>
      <c r="P64" s="24" t="n">
        <v>52284</v>
      </c>
      <c r="Q64" s="24" t="n">
        <v>76599</v>
      </c>
      <c r="R64" s="24" t="n">
        <v>265978</v>
      </c>
      <c r="S64" s="24" t="n">
        <v>39505</v>
      </c>
      <c r="T64" s="24" t="n">
        <v>0</v>
      </c>
      <c r="U64" s="24" t="n">
        <v>471281</v>
      </c>
      <c r="V64" s="24" t="n">
        <v>1112517</v>
      </c>
      <c r="W64" s="24" t="n">
        <f aca="false">N64+U64</f>
        <v>1112517</v>
      </c>
      <c r="X64" s="32" t="n">
        <f aca="false">IF(V64&gt;0,W64/V64,0)</f>
        <v>1</v>
      </c>
      <c r="Y64" s="9" t="s">
        <v>311</v>
      </c>
    </row>
    <row r="65" customFormat="false" ht="15" hidden="false" customHeight="false" outlineLevel="0" collapsed="false">
      <c r="A65" s="25" t="n">
        <v>2021</v>
      </c>
      <c r="B65" s="9" t="s">
        <v>245</v>
      </c>
      <c r="C65" s="9" t="s">
        <v>204</v>
      </c>
      <c r="D65" s="9" t="str">
        <f aca="false">INDEX(Lookups!$C$5:$C$75,MATCH($C65,Lookups!$A$5:$A$75,0))</f>
        <v>Europe</v>
      </c>
      <c r="E65" s="9" t="str">
        <f aca="false">INDEX(Lookups!$D$5:$D$75,MATCH($C65,Lookups!$A$5:$A$75,0))</f>
        <v>Europe</v>
      </c>
      <c r="F65" s="9" t="str">
        <f aca="false">IF($D65="Latin America &amp; Caribbean","Yes","No")</f>
        <v>No</v>
      </c>
      <c r="G65" s="9" t="str">
        <f aca="false">IF($C65="VEN","In-country record","Abroad")</f>
        <v>Abroad</v>
      </c>
      <c r="H65" s="24" t="n">
        <v>0</v>
      </c>
      <c r="I65" s="24" t="n">
        <v>0</v>
      </c>
      <c r="J65" s="24" t="n">
        <v>5</v>
      </c>
      <c r="K65" s="24" t="n">
        <v>0</v>
      </c>
      <c r="L65" s="24" t="n">
        <v>0</v>
      </c>
      <c r="M65" s="24" t="n">
        <v>0</v>
      </c>
      <c r="N65" s="24" t="n">
        <v>5</v>
      </c>
      <c r="O65" s="24" t="n">
        <v>0</v>
      </c>
      <c r="P65" s="24" t="n">
        <v>0</v>
      </c>
      <c r="Q65" s="24" t="n">
        <v>0</v>
      </c>
      <c r="R65" s="24" t="n">
        <v>0</v>
      </c>
      <c r="S65" s="24" t="n">
        <v>0</v>
      </c>
      <c r="T65" s="24" t="n">
        <v>0</v>
      </c>
      <c r="U65" s="24" t="n">
        <v>0</v>
      </c>
      <c r="V65" s="24" t="n">
        <v>5</v>
      </c>
      <c r="W65" s="24" t="n">
        <f aca="false">N65+U65</f>
        <v>5</v>
      </c>
      <c r="X65" s="32" t="n">
        <f aca="false">IF(V65&gt;0,W65/V65,0)</f>
        <v>1</v>
      </c>
      <c r="Y65" s="9"/>
    </row>
    <row r="66" customFormat="false" ht="15" hidden="false" customHeight="false" outlineLevel="0" collapsed="false">
      <c r="A66" s="25" t="n">
        <v>2021</v>
      </c>
      <c r="B66" s="9" t="s">
        <v>246</v>
      </c>
      <c r="C66" s="9" t="s">
        <v>211</v>
      </c>
      <c r="D66" s="9" t="str">
        <f aca="false">INDEX(Lookups!$C$5:$C$75,MATCH($C66,Lookups!$A$5:$A$75,0))</f>
        <v>Latin America &amp; Caribbean</v>
      </c>
      <c r="E66" s="9" t="str">
        <f aca="false">INDEX(Lookups!$D$5:$D$75,MATCH($C66,Lookups!$A$5:$A$75,0))</f>
        <v>Caribbean &amp; Guianas</v>
      </c>
      <c r="F66" s="9" t="str">
        <f aca="false">IF($D66="Latin America &amp; Caribbean","Yes","No")</f>
        <v>Yes</v>
      </c>
      <c r="G66" s="9" t="str">
        <f aca="false">IF($C66="VEN","In-country record","Abroad")</f>
        <v>Abroad</v>
      </c>
      <c r="H66" s="24" t="n">
        <v>0</v>
      </c>
      <c r="I66" s="24" t="n">
        <v>0</v>
      </c>
      <c r="J66" s="24" t="n">
        <v>0</v>
      </c>
      <c r="K66" s="24" t="n">
        <v>0</v>
      </c>
      <c r="L66" s="24" t="n">
        <v>0</v>
      </c>
      <c r="M66" s="24" t="n">
        <v>0</v>
      </c>
      <c r="N66" s="24" t="n">
        <v>0</v>
      </c>
      <c r="O66" s="24" t="n">
        <v>0</v>
      </c>
      <c r="P66" s="24" t="n">
        <v>0</v>
      </c>
      <c r="Q66" s="24" t="n">
        <v>0</v>
      </c>
      <c r="R66" s="24" t="n">
        <v>0</v>
      </c>
      <c r="S66" s="24" t="n">
        <v>0</v>
      </c>
      <c r="T66" s="24" t="n">
        <v>0</v>
      </c>
      <c r="U66" s="24" t="n">
        <v>0</v>
      </c>
      <c r="V66" s="24" t="n">
        <v>25</v>
      </c>
      <c r="W66" s="24" t="n">
        <f aca="false">N66+U66</f>
        <v>0</v>
      </c>
      <c r="X66" s="32" t="n">
        <f aca="false">IF(V66&gt;0,W66/V66,0)</f>
        <v>0</v>
      </c>
      <c r="Y66" s="9"/>
    </row>
    <row r="67" customFormat="false" ht="15" hidden="false" customHeight="false" outlineLevel="0" collapsed="false">
      <c r="A67" s="25" t="n">
        <v>2021</v>
      </c>
      <c r="B67" s="9" t="s">
        <v>247</v>
      </c>
      <c r="C67" s="9" t="s">
        <v>162</v>
      </c>
      <c r="D67" s="9" t="str">
        <f aca="false">INDEX(Lookups!$C$5:$C$75,MATCH($C67,Lookups!$A$5:$A$75,0))</f>
        <v>Latin America &amp; Caribbean</v>
      </c>
      <c r="E67" s="9" t="str">
        <f aca="false">INDEX(Lookups!$D$5:$D$75,MATCH($C67,Lookups!$A$5:$A$75,0))</f>
        <v>Southern Cone &amp; Brazil</v>
      </c>
      <c r="F67" s="9" t="str">
        <f aca="false">IF($D67="Latin America &amp; Caribbean","Yes","No")</f>
        <v>Yes</v>
      </c>
      <c r="G67" s="9" t="str">
        <f aca="false">IF($C67="VEN","In-country record","Abroad")</f>
        <v>Abroad</v>
      </c>
      <c r="H67" s="24" t="n">
        <v>143</v>
      </c>
      <c r="I67" s="24" t="n">
        <v>364</v>
      </c>
      <c r="J67" s="24" t="n">
        <v>190</v>
      </c>
      <c r="K67" s="24" t="n">
        <v>1986</v>
      </c>
      <c r="L67" s="24" t="n">
        <v>135</v>
      </c>
      <c r="M67" s="24" t="n">
        <v>83134</v>
      </c>
      <c r="N67" s="24" t="n">
        <v>85952</v>
      </c>
      <c r="O67" s="24" t="n">
        <v>189</v>
      </c>
      <c r="P67" s="24" t="n">
        <v>396</v>
      </c>
      <c r="Q67" s="24" t="n">
        <v>206</v>
      </c>
      <c r="R67" s="24" t="n">
        <v>2191</v>
      </c>
      <c r="S67" s="24" t="n">
        <v>87</v>
      </c>
      <c r="T67" s="24" t="n">
        <v>81488</v>
      </c>
      <c r="U67" s="24" t="n">
        <v>84557</v>
      </c>
      <c r="V67" s="24" t="n">
        <v>170517</v>
      </c>
      <c r="W67" s="24" t="n">
        <f aca="false">N67+U67</f>
        <v>170509</v>
      </c>
      <c r="X67" s="32" t="n">
        <f aca="false">IF(V67&gt;0,W67/V67,0)</f>
        <v>0.999953083856742</v>
      </c>
      <c r="Y67" s="9"/>
    </row>
    <row r="68" customFormat="false" ht="15" hidden="false" customHeight="false" outlineLevel="0" collapsed="false">
      <c r="A68" s="25" t="n">
        <v>2021</v>
      </c>
      <c r="B68" s="9" t="s">
        <v>249</v>
      </c>
      <c r="C68" s="9" t="s">
        <v>173</v>
      </c>
      <c r="D68" s="9" t="str">
        <f aca="false">INDEX(Lookups!$C$5:$C$75,MATCH($C68,Lookups!$A$5:$A$75,0))</f>
        <v>Latin America &amp; Caribbean</v>
      </c>
      <c r="E68" s="9" t="str">
        <f aca="false">INDEX(Lookups!$D$5:$D$75,MATCH($C68,Lookups!$A$5:$A$75,0))</f>
        <v>Caribbean &amp; Guianas</v>
      </c>
      <c r="F68" s="9" t="str">
        <f aca="false">IF($D68="Latin America &amp; Caribbean","Yes","No")</f>
        <v>Yes</v>
      </c>
      <c r="G68" s="9" t="str">
        <f aca="false">IF($C68="VEN","In-country record","Abroad")</f>
        <v>Abroad</v>
      </c>
      <c r="H68" s="24" t="n">
        <v>0</v>
      </c>
      <c r="I68" s="24" t="n">
        <v>0</v>
      </c>
      <c r="J68" s="24" t="n">
        <v>0</v>
      </c>
      <c r="K68" s="24" t="n">
        <v>0</v>
      </c>
      <c r="L68" s="24" t="n">
        <v>0</v>
      </c>
      <c r="M68" s="24" t="n">
        <v>8959</v>
      </c>
      <c r="N68" s="24" t="n">
        <v>8959</v>
      </c>
      <c r="O68" s="24" t="n">
        <v>0</v>
      </c>
      <c r="P68" s="24" t="n">
        <v>0</v>
      </c>
      <c r="Q68" s="24" t="n">
        <v>0</v>
      </c>
      <c r="R68" s="24" t="n">
        <v>0</v>
      </c>
      <c r="S68" s="24" t="n">
        <v>0</v>
      </c>
      <c r="T68" s="24" t="n">
        <v>8041</v>
      </c>
      <c r="U68" s="24" t="n">
        <v>8041</v>
      </c>
      <c r="V68" s="24" t="n">
        <v>17000</v>
      </c>
      <c r="W68" s="24" t="n">
        <f aca="false">N68+U68</f>
        <v>17000</v>
      </c>
      <c r="X68" s="32" t="n">
        <f aca="false">IF(V68&gt;0,W68/V68,0)</f>
        <v>1</v>
      </c>
      <c r="Y68" s="9" t="s">
        <v>312</v>
      </c>
    </row>
    <row r="69" customFormat="false" ht="15" hidden="false" customHeight="false" outlineLevel="0" collapsed="false">
      <c r="A69" s="25" t="n">
        <v>2021</v>
      </c>
      <c r="B69" s="9" t="s">
        <v>251</v>
      </c>
      <c r="C69" s="9" t="s">
        <v>184</v>
      </c>
      <c r="D69" s="9" t="str">
        <f aca="false">INDEX(Lookups!$C$5:$C$75,MATCH($C69,Lookups!$A$5:$A$75,0))</f>
        <v>Other regions</v>
      </c>
      <c r="E69" s="9" t="str">
        <f aca="false">INDEX(Lookups!$D$5:$D$75,MATCH($C69,Lookups!$A$5:$A$75,0))</f>
        <v>Rest of world</v>
      </c>
      <c r="F69" s="9" t="str">
        <f aca="false">IF($D69="Latin America &amp; Caribbean","Yes","No")</f>
        <v>No</v>
      </c>
      <c r="G69" s="9" t="str">
        <f aca="false">IF($C69="VEN","In-country record","Abroad")</f>
        <v>Abroad</v>
      </c>
      <c r="H69" s="24" t="n">
        <v>0</v>
      </c>
      <c r="I69" s="24" t="n">
        <v>0</v>
      </c>
      <c r="J69" s="24" t="n">
        <v>0</v>
      </c>
      <c r="K69" s="24" t="n">
        <v>0</v>
      </c>
      <c r="L69" s="24" t="n">
        <v>0</v>
      </c>
      <c r="M69" s="24" t="n">
        <v>0</v>
      </c>
      <c r="N69" s="24" t="n">
        <v>0</v>
      </c>
      <c r="O69" s="24" t="n">
        <v>0</v>
      </c>
      <c r="P69" s="24" t="n">
        <v>0</v>
      </c>
      <c r="Q69" s="24" t="n">
        <v>0</v>
      </c>
      <c r="R69" s="24" t="n">
        <v>0</v>
      </c>
      <c r="S69" s="24" t="n">
        <v>0</v>
      </c>
      <c r="T69" s="24" t="n">
        <v>0</v>
      </c>
      <c r="U69" s="24" t="n">
        <v>0</v>
      </c>
      <c r="V69" s="24" t="n">
        <v>479</v>
      </c>
      <c r="W69" s="24" t="n">
        <f aca="false">N69+U69</f>
        <v>0</v>
      </c>
      <c r="X69" s="32" t="n">
        <f aca="false">IF(V69&gt;0,W69/V69,0)</f>
        <v>0</v>
      </c>
      <c r="Y69" s="9"/>
    </row>
    <row r="70" customFormat="false" ht="15" hidden="false" customHeight="false" outlineLevel="0" collapsed="false">
      <c r="A70" s="25" t="n">
        <v>2021</v>
      </c>
      <c r="B70" s="9" t="s">
        <v>252</v>
      </c>
      <c r="C70" s="9" t="s">
        <v>187</v>
      </c>
      <c r="D70" s="9" t="str">
        <f aca="false">INDEX(Lookups!$C$5:$C$75,MATCH($C70,Lookups!$A$5:$A$75,0))</f>
        <v>Europe</v>
      </c>
      <c r="E70" s="9" t="str">
        <f aca="false">INDEX(Lookups!$D$5:$D$75,MATCH($C70,Lookups!$A$5:$A$75,0))</f>
        <v>Europe</v>
      </c>
      <c r="F70" s="9" t="str">
        <f aca="false">IF($D70="Latin America &amp; Caribbean","Yes","No")</f>
        <v>No</v>
      </c>
      <c r="G70" s="9" t="str">
        <f aca="false">IF($C70="VEN","In-country record","Abroad")</f>
        <v>Abroad</v>
      </c>
      <c r="H70" s="24" t="n">
        <v>0</v>
      </c>
      <c r="I70" s="24" t="n">
        <v>0</v>
      </c>
      <c r="J70" s="24" t="n">
        <v>0</v>
      </c>
      <c r="K70" s="24" t="n">
        <v>0</v>
      </c>
      <c r="L70" s="24" t="n">
        <v>0</v>
      </c>
      <c r="M70" s="24" t="n">
        <v>16</v>
      </c>
      <c r="N70" s="24" t="n">
        <v>16</v>
      </c>
      <c r="O70" s="24" t="n">
        <v>0</v>
      </c>
      <c r="P70" s="24" t="n">
        <v>0</v>
      </c>
      <c r="Q70" s="24" t="n">
        <v>0</v>
      </c>
      <c r="R70" s="24" t="n">
        <v>0</v>
      </c>
      <c r="S70" s="24" t="n">
        <v>0</v>
      </c>
      <c r="T70" s="24" t="n">
        <v>16</v>
      </c>
      <c r="U70" s="24" t="n">
        <v>16</v>
      </c>
      <c r="V70" s="24" t="n">
        <v>115</v>
      </c>
      <c r="W70" s="24" t="n">
        <f aca="false">N70+U70</f>
        <v>32</v>
      </c>
      <c r="X70" s="32" t="n">
        <f aca="false">IF(V70&gt;0,W70/V70,0)</f>
        <v>0.278260869565217</v>
      </c>
      <c r="Y70" s="9"/>
    </row>
    <row r="71" customFormat="false" ht="15" hidden="false" customHeight="false" outlineLevel="0" collapsed="false">
      <c r="A71" s="25" t="n">
        <v>2021</v>
      </c>
      <c r="B71" s="9" t="s">
        <v>253</v>
      </c>
      <c r="C71" s="9" t="s">
        <v>210</v>
      </c>
      <c r="D71" s="9" t="str">
        <f aca="false">INDEX(Lookups!$C$5:$C$75,MATCH($C71,Lookups!$A$5:$A$75,0))</f>
        <v>Latin America &amp; Caribbean</v>
      </c>
      <c r="E71" s="9" t="str">
        <f aca="false">INDEX(Lookups!$D$5:$D$75,MATCH($C71,Lookups!$A$5:$A$75,0))</f>
        <v>Caribbean &amp; Guianas</v>
      </c>
      <c r="F71" s="9" t="str">
        <f aca="false">IF($D71="Latin America &amp; Caribbean","Yes","No")</f>
        <v>Yes</v>
      </c>
      <c r="G71" s="9" t="str">
        <f aca="false">IF($C71="VEN","In-country record","Abroad")</f>
        <v>Abroad</v>
      </c>
      <c r="H71" s="24" t="n">
        <v>0</v>
      </c>
      <c r="I71" s="24" t="n">
        <v>0</v>
      </c>
      <c r="J71" s="24" t="n">
        <v>0</v>
      </c>
      <c r="K71" s="24" t="n">
        <v>0</v>
      </c>
      <c r="L71" s="24" t="n">
        <v>0</v>
      </c>
      <c r="M71" s="24" t="n">
        <v>0</v>
      </c>
      <c r="N71" s="24" t="n">
        <v>0</v>
      </c>
      <c r="O71" s="24" t="n">
        <v>0</v>
      </c>
      <c r="P71" s="24" t="n">
        <v>0</v>
      </c>
      <c r="Q71" s="24" t="n">
        <v>0</v>
      </c>
      <c r="R71" s="24" t="n">
        <v>5</v>
      </c>
      <c r="S71" s="24" t="n">
        <v>0</v>
      </c>
      <c r="T71" s="24" t="n">
        <v>0</v>
      </c>
      <c r="U71" s="24" t="n">
        <v>5</v>
      </c>
      <c r="V71" s="24" t="n">
        <v>5</v>
      </c>
      <c r="W71" s="24" t="n">
        <f aca="false">N71+U71</f>
        <v>5</v>
      </c>
      <c r="X71" s="32" t="n">
        <f aca="false">IF(V71&gt;0,W71/V71,0)</f>
        <v>1</v>
      </c>
      <c r="Y71" s="9"/>
    </row>
    <row r="72" customFormat="false" ht="15" hidden="false" customHeight="false" outlineLevel="0" collapsed="false">
      <c r="A72" s="25" t="n">
        <v>2021</v>
      </c>
      <c r="B72" s="9" t="s">
        <v>254</v>
      </c>
      <c r="C72" s="9" t="s">
        <v>181</v>
      </c>
      <c r="D72" s="9" t="str">
        <f aca="false">INDEX(Lookups!$C$5:$C$75,MATCH($C72,Lookups!$A$5:$A$75,0))</f>
        <v>Europe</v>
      </c>
      <c r="E72" s="9" t="str">
        <f aca="false">INDEX(Lookups!$D$5:$D$75,MATCH($C72,Lookups!$A$5:$A$75,0))</f>
        <v>Europe</v>
      </c>
      <c r="F72" s="9" t="str">
        <f aca="false">IF($D72="Latin America &amp; Caribbean","Yes","No")</f>
        <v>No</v>
      </c>
      <c r="G72" s="9" t="str">
        <f aca="false">IF($C72="VEN","In-country record","Abroad")</f>
        <v>Abroad</v>
      </c>
      <c r="H72" s="24" t="n">
        <v>0</v>
      </c>
      <c r="I72" s="24" t="n">
        <v>0</v>
      </c>
      <c r="J72" s="24" t="n">
        <v>0</v>
      </c>
      <c r="K72" s="24" t="n">
        <v>0</v>
      </c>
      <c r="L72" s="24" t="n">
        <v>0</v>
      </c>
      <c r="M72" s="24" t="n">
        <v>130</v>
      </c>
      <c r="N72" s="24" t="n">
        <v>130</v>
      </c>
      <c r="O72" s="24" t="n">
        <v>0</v>
      </c>
      <c r="P72" s="24" t="n">
        <v>0</v>
      </c>
      <c r="Q72" s="24" t="n">
        <v>0</v>
      </c>
      <c r="R72" s="24" t="n">
        <v>0</v>
      </c>
      <c r="S72" s="24" t="n">
        <v>0</v>
      </c>
      <c r="T72" s="24" t="n">
        <v>120</v>
      </c>
      <c r="U72" s="24" t="n">
        <v>120</v>
      </c>
      <c r="V72" s="24" t="n">
        <v>729</v>
      </c>
      <c r="W72" s="24" t="n">
        <f aca="false">N72+U72</f>
        <v>250</v>
      </c>
      <c r="X72" s="32" t="n">
        <f aca="false">IF(V72&gt;0,W72/V72,0)</f>
        <v>0.342935528120713</v>
      </c>
      <c r="Y72" s="9"/>
    </row>
    <row r="73" customFormat="false" ht="15" hidden="false" customHeight="false" outlineLevel="0" collapsed="false">
      <c r="A73" s="25" t="n">
        <v>2021</v>
      </c>
      <c r="B73" s="9" t="s">
        <v>255</v>
      </c>
      <c r="C73" s="9" t="s">
        <v>171</v>
      </c>
      <c r="D73" s="9" t="str">
        <f aca="false">INDEX(Lookups!$C$5:$C$75,MATCH($C73,Lookups!$A$5:$A$75,0))</f>
        <v>Latin America &amp; Caribbean</v>
      </c>
      <c r="E73" s="9" t="str">
        <f aca="false">INDEX(Lookups!$D$5:$D$75,MATCH($C73,Lookups!$A$5:$A$75,0))</f>
        <v>Andean region</v>
      </c>
      <c r="F73" s="9" t="str">
        <f aca="false">IF($D73="Latin America &amp; Caribbean","Yes","No")</f>
        <v>Yes</v>
      </c>
      <c r="G73" s="9" t="str">
        <f aca="false">IF($C73="VEN","In-country record","Abroad")</f>
        <v>Abroad</v>
      </c>
      <c r="H73" s="24" t="n">
        <v>0</v>
      </c>
      <c r="I73" s="24" t="n">
        <v>0</v>
      </c>
      <c r="J73" s="24" t="n">
        <v>0</v>
      </c>
      <c r="K73" s="24" t="n">
        <v>0</v>
      </c>
      <c r="L73" s="24" t="n">
        <v>0</v>
      </c>
      <c r="M73" s="24" t="n">
        <v>5559</v>
      </c>
      <c r="N73" s="24" t="n">
        <v>5559</v>
      </c>
      <c r="O73" s="24" t="n">
        <v>0</v>
      </c>
      <c r="P73" s="24" t="n">
        <v>0</v>
      </c>
      <c r="Q73" s="24" t="n">
        <v>0</v>
      </c>
      <c r="R73" s="24" t="n">
        <v>0</v>
      </c>
      <c r="S73" s="24" t="n">
        <v>0</v>
      </c>
      <c r="T73" s="24" t="n">
        <v>6269</v>
      </c>
      <c r="U73" s="24" t="n">
        <v>6269</v>
      </c>
      <c r="V73" s="24" t="n">
        <v>12071</v>
      </c>
      <c r="W73" s="24" t="n">
        <f aca="false">N73+U73</f>
        <v>11828</v>
      </c>
      <c r="X73" s="32" t="n">
        <f aca="false">IF(V73&gt;0,W73/V73,0)</f>
        <v>0.979869107778974</v>
      </c>
      <c r="Y73" s="9"/>
    </row>
    <row r="74" customFormat="false" ht="15" hidden="false" customHeight="false" outlineLevel="0" collapsed="false">
      <c r="A74" s="25" t="n">
        <v>2021</v>
      </c>
      <c r="B74" s="9" t="s">
        <v>256</v>
      </c>
      <c r="C74" s="9" t="s">
        <v>157</v>
      </c>
      <c r="D74" s="9" t="str">
        <f aca="false">INDEX(Lookups!$C$5:$C$75,MATCH($C74,Lookups!$A$5:$A$75,0))</f>
        <v>Latin America &amp; Caribbean</v>
      </c>
      <c r="E74" s="9" t="str">
        <f aca="false">INDEX(Lookups!$D$5:$D$75,MATCH($C74,Lookups!$A$5:$A$75,0))</f>
        <v>Southern Cone &amp; Brazil</v>
      </c>
      <c r="F74" s="9" t="str">
        <f aca="false">IF($D74="Latin America &amp; Caribbean","Yes","No")</f>
        <v>Yes</v>
      </c>
      <c r="G74" s="9" t="str">
        <f aca="false">IF($C74="VEN","In-country record","Abroad")</f>
        <v>Abroad</v>
      </c>
      <c r="H74" s="24" t="n">
        <v>0</v>
      </c>
      <c r="I74" s="24" t="n">
        <v>0</v>
      </c>
      <c r="J74" s="24" t="n">
        <v>0</v>
      </c>
      <c r="K74" s="24" t="n">
        <v>0</v>
      </c>
      <c r="L74" s="24" t="n">
        <v>0</v>
      </c>
      <c r="M74" s="24" t="n">
        <v>0</v>
      </c>
      <c r="N74" s="24" t="n">
        <v>0</v>
      </c>
      <c r="O74" s="24" t="n">
        <v>0</v>
      </c>
      <c r="P74" s="24" t="n">
        <v>0</v>
      </c>
      <c r="Q74" s="24" t="n">
        <v>0</v>
      </c>
      <c r="R74" s="24" t="n">
        <v>0</v>
      </c>
      <c r="S74" s="24" t="n">
        <v>0</v>
      </c>
      <c r="T74" s="24" t="n">
        <v>0</v>
      </c>
      <c r="U74" s="24" t="n">
        <v>0</v>
      </c>
      <c r="V74" s="24" t="n">
        <v>310661</v>
      </c>
      <c r="W74" s="24" t="n">
        <f aca="false">N74+U74</f>
        <v>0</v>
      </c>
      <c r="X74" s="32" t="n">
        <f aca="false">IF(V74&gt;0,W74/V74,0)</f>
        <v>0</v>
      </c>
      <c r="Y74" s="9" t="s">
        <v>248</v>
      </c>
    </row>
    <row r="75" customFormat="false" ht="15" hidden="false" customHeight="false" outlineLevel="0" collapsed="false">
      <c r="A75" s="25" t="n">
        <v>2021</v>
      </c>
      <c r="B75" s="9" t="s">
        <v>257</v>
      </c>
      <c r="C75" s="9" t="s">
        <v>209</v>
      </c>
      <c r="D75" s="9" t="str">
        <f aca="false">INDEX(Lookups!$C$5:$C$75,MATCH($C75,Lookups!$A$5:$A$75,0))</f>
        <v>Europe</v>
      </c>
      <c r="E75" s="9" t="str">
        <f aca="false">INDEX(Lookups!$D$5:$D$75,MATCH($C75,Lookups!$A$5:$A$75,0))</f>
        <v>Europe</v>
      </c>
      <c r="F75" s="9" t="str">
        <f aca="false">IF($D75="Latin America &amp; Caribbean","Yes","No")</f>
        <v>No</v>
      </c>
      <c r="G75" s="9" t="str">
        <f aca="false">IF($C75="VEN","In-country record","Abroad")</f>
        <v>Abroad</v>
      </c>
      <c r="H75" s="24" t="n">
        <v>0</v>
      </c>
      <c r="I75" s="24" t="n">
        <v>0</v>
      </c>
      <c r="J75" s="24" t="n">
        <v>0</v>
      </c>
      <c r="K75" s="24" t="n">
        <v>0</v>
      </c>
      <c r="L75" s="24" t="n">
        <v>0</v>
      </c>
      <c r="M75" s="24" t="n">
        <v>5</v>
      </c>
      <c r="N75" s="24" t="n">
        <v>5</v>
      </c>
      <c r="O75" s="24" t="n">
        <v>0</v>
      </c>
      <c r="P75" s="24" t="n">
        <v>0</v>
      </c>
      <c r="Q75" s="24" t="n">
        <v>0</v>
      </c>
      <c r="R75" s="24" t="n">
        <v>0</v>
      </c>
      <c r="S75" s="24" t="n">
        <v>0</v>
      </c>
      <c r="T75" s="24" t="n">
        <v>0</v>
      </c>
      <c r="U75" s="24" t="n">
        <v>0</v>
      </c>
      <c r="V75" s="24" t="n">
        <v>5</v>
      </c>
      <c r="W75" s="24" t="n">
        <f aca="false">N75+U75</f>
        <v>5</v>
      </c>
      <c r="X75" s="32" t="n">
        <f aca="false">IF(V75&gt;0,W75/V75,0)</f>
        <v>1</v>
      </c>
      <c r="Y75" s="9"/>
    </row>
    <row r="76" customFormat="false" ht="15" hidden="false" customHeight="false" outlineLevel="0" collapsed="false">
      <c r="A76" s="25" t="n">
        <v>2021</v>
      </c>
      <c r="B76" s="9" t="s">
        <v>258</v>
      </c>
      <c r="C76" s="9" t="s">
        <v>176</v>
      </c>
      <c r="D76" s="9" t="str">
        <f aca="false">INDEX(Lookups!$C$5:$C$75,MATCH($C76,Lookups!$A$5:$A$75,0))</f>
        <v>North America</v>
      </c>
      <c r="E76" s="9" t="str">
        <f aca="false">INDEX(Lookups!$D$5:$D$75,MATCH($C76,Lookups!$A$5:$A$75,0))</f>
        <v>North America</v>
      </c>
      <c r="F76" s="9" t="str">
        <f aca="false">IF($D76="Latin America &amp; Caribbean","Yes","No")</f>
        <v>No</v>
      </c>
      <c r="G76" s="9" t="str">
        <f aca="false">IF($C76="VEN","In-country record","Abroad")</f>
        <v>Abroad</v>
      </c>
      <c r="H76" s="24" t="n">
        <v>26</v>
      </c>
      <c r="I76" s="24" t="n">
        <v>85</v>
      </c>
      <c r="J76" s="24" t="n">
        <v>54</v>
      </c>
      <c r="K76" s="24" t="n">
        <v>626</v>
      </c>
      <c r="L76" s="24" t="n">
        <v>289</v>
      </c>
      <c r="M76" s="24" t="n">
        <v>27</v>
      </c>
      <c r="N76" s="24" t="n">
        <v>1107</v>
      </c>
      <c r="O76" s="24" t="n">
        <v>23</v>
      </c>
      <c r="P76" s="24" t="n">
        <v>98</v>
      </c>
      <c r="Q76" s="24" t="n">
        <v>52</v>
      </c>
      <c r="R76" s="24" t="n">
        <v>531</v>
      </c>
      <c r="S76" s="24" t="n">
        <v>151</v>
      </c>
      <c r="T76" s="24" t="n">
        <v>26</v>
      </c>
      <c r="U76" s="24" t="n">
        <v>881</v>
      </c>
      <c r="V76" s="24" t="n">
        <v>4856</v>
      </c>
      <c r="W76" s="24" t="n">
        <f aca="false">N76+U76</f>
        <v>1988</v>
      </c>
      <c r="X76" s="32" t="n">
        <f aca="false">IF(V76&gt;0,W76/V76,0)</f>
        <v>0.409390444810544</v>
      </c>
      <c r="Y76" s="9"/>
    </row>
    <row r="77" customFormat="false" ht="15" hidden="false" customHeight="false" outlineLevel="0" collapsed="false">
      <c r="A77" s="25" t="n">
        <v>2021</v>
      </c>
      <c r="B77" s="9" t="s">
        <v>259</v>
      </c>
      <c r="C77" s="9" t="s">
        <v>195</v>
      </c>
      <c r="D77" s="9" t="str">
        <f aca="false">INDEX(Lookups!$C$5:$C$75,MATCH($C77,Lookups!$A$5:$A$75,0))</f>
        <v>Latin America &amp; Caribbean</v>
      </c>
      <c r="E77" s="9" t="str">
        <f aca="false">INDEX(Lookups!$D$5:$D$75,MATCH($C77,Lookups!$A$5:$A$75,0))</f>
        <v>Caribbean &amp; Guianas</v>
      </c>
      <c r="F77" s="9" t="str">
        <f aca="false">IF($D77="Latin America &amp; Caribbean","Yes","No")</f>
        <v>Yes</v>
      </c>
      <c r="G77" s="9" t="str">
        <f aca="false">IF($C77="VEN","In-country record","Abroad")</f>
        <v>Abroad</v>
      </c>
      <c r="H77" s="24" t="n">
        <v>0</v>
      </c>
      <c r="I77" s="24" t="n">
        <v>0</v>
      </c>
      <c r="J77" s="24" t="n">
        <v>0</v>
      </c>
      <c r="K77" s="24" t="n">
        <v>0</v>
      </c>
      <c r="L77" s="24" t="n">
        <v>0</v>
      </c>
      <c r="M77" s="24" t="n">
        <v>0</v>
      </c>
      <c r="N77" s="24" t="n">
        <v>0</v>
      </c>
      <c r="O77" s="24" t="n">
        <v>0</v>
      </c>
      <c r="P77" s="24" t="n">
        <v>0</v>
      </c>
      <c r="Q77" s="24" t="n">
        <v>0</v>
      </c>
      <c r="R77" s="24" t="n">
        <v>0</v>
      </c>
      <c r="S77" s="24" t="n">
        <v>0</v>
      </c>
      <c r="T77" s="24" t="n">
        <v>0</v>
      </c>
      <c r="U77" s="24" t="n">
        <v>0</v>
      </c>
      <c r="V77" s="24" t="n">
        <v>92</v>
      </c>
      <c r="W77" s="24" t="n">
        <f aca="false">N77+U77</f>
        <v>0</v>
      </c>
      <c r="X77" s="32" t="n">
        <f aca="false">IF(V77&gt;0,W77/V77,0)</f>
        <v>0</v>
      </c>
      <c r="Y77" s="9"/>
    </row>
    <row r="78" customFormat="false" ht="15" hidden="false" customHeight="false" outlineLevel="0" collapsed="false">
      <c r="A78" s="25" t="n">
        <v>2021</v>
      </c>
      <c r="B78" s="9" t="s">
        <v>260</v>
      </c>
      <c r="C78" s="9" t="s">
        <v>158</v>
      </c>
      <c r="D78" s="9" t="str">
        <f aca="false">INDEX(Lookups!$C$5:$C$75,MATCH($C78,Lookups!$A$5:$A$75,0))</f>
        <v>Latin America &amp; Caribbean</v>
      </c>
      <c r="E78" s="9" t="str">
        <f aca="false">INDEX(Lookups!$D$5:$D$75,MATCH($C78,Lookups!$A$5:$A$75,0))</f>
        <v>Southern Cone &amp; Brazil</v>
      </c>
      <c r="F78" s="9" t="str">
        <f aca="false">IF($D78="Latin America &amp; Caribbean","Yes","No")</f>
        <v>Yes</v>
      </c>
      <c r="G78" s="9" t="str">
        <f aca="false">IF($C78="VEN","In-country record","Abroad")</f>
        <v>Abroad</v>
      </c>
      <c r="H78" s="24" t="n">
        <v>95</v>
      </c>
      <c r="I78" s="24" t="n">
        <v>283</v>
      </c>
      <c r="J78" s="24" t="n">
        <v>146</v>
      </c>
      <c r="K78" s="24" t="n">
        <v>1844</v>
      </c>
      <c r="L78" s="24" t="n">
        <v>95</v>
      </c>
      <c r="M78" s="24" t="n">
        <v>247635</v>
      </c>
      <c r="N78" s="24" t="n">
        <v>250098</v>
      </c>
      <c r="O78" s="24" t="n">
        <v>95</v>
      </c>
      <c r="P78" s="24" t="n">
        <v>236</v>
      </c>
      <c r="Q78" s="24" t="n">
        <v>146</v>
      </c>
      <c r="R78" s="24" t="n">
        <v>1749</v>
      </c>
      <c r="S78" s="24" t="n">
        <v>47</v>
      </c>
      <c r="T78" s="24" t="n">
        <v>252636</v>
      </c>
      <c r="U78" s="24" t="n">
        <v>254909</v>
      </c>
      <c r="V78" s="24" t="n">
        <v>505007</v>
      </c>
      <c r="W78" s="24" t="n">
        <f aca="false">N78+U78</f>
        <v>505007</v>
      </c>
      <c r="X78" s="32" t="n">
        <f aca="false">IF(V78&gt;0,W78/V78,0)</f>
        <v>1</v>
      </c>
      <c r="Y78" s="9" t="s">
        <v>313</v>
      </c>
    </row>
    <row r="79" customFormat="false" ht="15" hidden="false" customHeight="false" outlineLevel="0" collapsed="false">
      <c r="A79" s="25" t="n">
        <v>2021</v>
      </c>
      <c r="B79" s="9" t="s">
        <v>101</v>
      </c>
      <c r="C79" s="9" t="s">
        <v>155</v>
      </c>
      <c r="D79" s="9" t="str">
        <f aca="false">INDEX(Lookups!$C$5:$C$75,MATCH($C79,Lookups!$A$5:$A$75,0))</f>
        <v>Latin America &amp; Caribbean</v>
      </c>
      <c r="E79" s="9" t="str">
        <f aca="false">INDEX(Lookups!$D$5:$D$75,MATCH($C79,Lookups!$A$5:$A$75,0))</f>
        <v>Andean region</v>
      </c>
      <c r="F79" s="9" t="str">
        <f aca="false">IF($D79="Latin America &amp; Caribbean","Yes","No")</f>
        <v>Yes</v>
      </c>
      <c r="G79" s="9" t="str">
        <f aca="false">IF($C79="VEN","In-country record","Abroad")</f>
        <v>Abroad</v>
      </c>
      <c r="H79" s="24" t="n">
        <v>63990</v>
      </c>
      <c r="I79" s="24" t="n">
        <v>97091</v>
      </c>
      <c r="J79" s="24" t="n">
        <v>87350</v>
      </c>
      <c r="K79" s="24" t="n">
        <v>657696</v>
      </c>
      <c r="L79" s="24" t="n">
        <v>29555</v>
      </c>
      <c r="M79" s="24" t="n">
        <v>1225</v>
      </c>
      <c r="N79" s="24" t="n">
        <v>936907</v>
      </c>
      <c r="O79" s="24" t="n">
        <v>71532</v>
      </c>
      <c r="P79" s="24" t="n">
        <v>107336</v>
      </c>
      <c r="Q79" s="24" t="n">
        <v>94989</v>
      </c>
      <c r="R79" s="24" t="n">
        <v>639237</v>
      </c>
      <c r="S79" s="24" t="n">
        <v>21385</v>
      </c>
      <c r="T79" s="24" t="n">
        <v>1086</v>
      </c>
      <c r="U79" s="24" t="n">
        <v>935565</v>
      </c>
      <c r="V79" s="24" t="n">
        <v>1872472</v>
      </c>
      <c r="W79" s="24" t="n">
        <f aca="false">N79+U79</f>
        <v>1872472</v>
      </c>
      <c r="X79" s="32" t="n">
        <f aca="false">IF(V79&gt;0,W79/V79,0)</f>
        <v>1</v>
      </c>
      <c r="Y79" s="9"/>
    </row>
    <row r="80" customFormat="false" ht="15" hidden="false" customHeight="false" outlineLevel="0" collapsed="false">
      <c r="A80" s="25" t="n">
        <v>2021</v>
      </c>
      <c r="B80" s="9" t="s">
        <v>261</v>
      </c>
      <c r="C80" s="9" t="s">
        <v>166</v>
      </c>
      <c r="D80" s="9" t="str">
        <f aca="false">INDEX(Lookups!$C$5:$C$75,MATCH($C80,Lookups!$A$5:$A$75,0))</f>
        <v>Latin America &amp; Caribbean</v>
      </c>
      <c r="E80" s="9" t="str">
        <f aca="false">INDEX(Lookups!$D$5:$D$75,MATCH($C80,Lookups!$A$5:$A$75,0))</f>
        <v>Central America &amp; Mexico</v>
      </c>
      <c r="F80" s="9" t="str">
        <f aca="false">IF($D80="Latin America &amp; Caribbean","Yes","No")</f>
        <v>Yes</v>
      </c>
      <c r="G80" s="9" t="str">
        <f aca="false">IF($C80="VEN","In-country record","Abroad")</f>
        <v>Abroad</v>
      </c>
      <c r="H80" s="24" t="n">
        <v>0</v>
      </c>
      <c r="I80" s="24" t="n">
        <v>0</v>
      </c>
      <c r="J80" s="24" t="n">
        <v>0</v>
      </c>
      <c r="K80" s="24" t="n">
        <v>0</v>
      </c>
      <c r="L80" s="24" t="n">
        <v>0</v>
      </c>
      <c r="M80" s="24" t="n">
        <v>0</v>
      </c>
      <c r="N80" s="24" t="n">
        <v>0</v>
      </c>
      <c r="O80" s="24" t="n">
        <v>0</v>
      </c>
      <c r="P80" s="24" t="n">
        <v>0</v>
      </c>
      <c r="Q80" s="24" t="n">
        <v>0</v>
      </c>
      <c r="R80" s="24" t="n">
        <v>0</v>
      </c>
      <c r="S80" s="24" t="n">
        <v>0</v>
      </c>
      <c r="T80" s="24" t="n">
        <v>0</v>
      </c>
      <c r="U80" s="24" t="n">
        <v>0</v>
      </c>
      <c r="V80" s="24" t="n">
        <v>30546</v>
      </c>
      <c r="W80" s="24" t="n">
        <f aca="false">N80+U80</f>
        <v>0</v>
      </c>
      <c r="X80" s="32" t="n">
        <f aca="false">IF(V80&gt;0,W80/V80,0)</f>
        <v>0</v>
      </c>
      <c r="Y80" s="9" t="s">
        <v>314</v>
      </c>
    </row>
    <row r="81" customFormat="false" ht="15" hidden="false" customHeight="false" outlineLevel="0" collapsed="false">
      <c r="A81" s="25" t="n">
        <v>2021</v>
      </c>
      <c r="B81" s="9" t="s">
        <v>262</v>
      </c>
      <c r="C81" s="9" t="s">
        <v>177</v>
      </c>
      <c r="D81" s="9" t="str">
        <f aca="false">INDEX(Lookups!$C$5:$C$75,MATCH($C81,Lookups!$A$5:$A$75,0))</f>
        <v>Latin America &amp; Caribbean</v>
      </c>
      <c r="E81" s="9" t="str">
        <f aca="false">INDEX(Lookups!$D$5:$D$75,MATCH($C81,Lookups!$A$5:$A$75,0))</f>
        <v>Caribbean &amp; Guianas</v>
      </c>
      <c r="F81" s="9" t="str">
        <f aca="false">IF($D81="Latin America &amp; Caribbean","Yes","No")</f>
        <v>Yes</v>
      </c>
      <c r="G81" s="9" t="str">
        <f aca="false">IF($C81="VEN","In-country record","Abroad")</f>
        <v>Abroad</v>
      </c>
      <c r="H81" s="24" t="n">
        <v>0</v>
      </c>
      <c r="I81" s="24" t="n">
        <v>0</v>
      </c>
      <c r="J81" s="24" t="n">
        <v>0</v>
      </c>
      <c r="K81" s="24" t="n">
        <v>0</v>
      </c>
      <c r="L81" s="24" t="n">
        <v>0</v>
      </c>
      <c r="M81" s="24" t="n">
        <v>9690</v>
      </c>
      <c r="N81" s="24" t="n">
        <v>9690</v>
      </c>
      <c r="O81" s="24" t="n">
        <v>0</v>
      </c>
      <c r="P81" s="24" t="n">
        <v>0</v>
      </c>
      <c r="Q81" s="24" t="n">
        <v>0</v>
      </c>
      <c r="R81" s="24" t="n">
        <v>0</v>
      </c>
      <c r="S81" s="24" t="n">
        <v>0</v>
      </c>
      <c r="T81" s="24" t="n">
        <v>7310</v>
      </c>
      <c r="U81" s="24" t="n">
        <v>7310</v>
      </c>
      <c r="V81" s="24" t="n">
        <v>17000</v>
      </c>
      <c r="W81" s="24" t="n">
        <f aca="false">N81+U81</f>
        <v>17000</v>
      </c>
      <c r="X81" s="32" t="n">
        <f aca="false">IF(V81&gt;0,W81/V81,0)</f>
        <v>1</v>
      </c>
      <c r="Y81" s="9" t="s">
        <v>312</v>
      </c>
    </row>
    <row r="82" customFormat="false" ht="15" hidden="false" customHeight="false" outlineLevel="0" collapsed="false">
      <c r="A82" s="25" t="n">
        <v>2021</v>
      </c>
      <c r="B82" s="9" t="s">
        <v>263</v>
      </c>
      <c r="C82" s="9" t="s">
        <v>200</v>
      </c>
      <c r="D82" s="9" t="str">
        <f aca="false">INDEX(Lookups!$C$5:$C$75,MATCH($C82,Lookups!$A$5:$A$75,0))</f>
        <v>Europe</v>
      </c>
      <c r="E82" s="9" t="str">
        <f aca="false">INDEX(Lookups!$D$5:$D$75,MATCH($C82,Lookups!$A$5:$A$75,0))</f>
        <v>Europe</v>
      </c>
      <c r="F82" s="9" t="str">
        <f aca="false">IF($D82="Latin America &amp; Caribbean","Yes","No")</f>
        <v>No</v>
      </c>
      <c r="G82" s="9" t="str">
        <f aca="false">IF($C82="VEN","In-country record","Abroad")</f>
        <v>Abroad</v>
      </c>
      <c r="H82" s="24" t="n">
        <v>0</v>
      </c>
      <c r="I82" s="24" t="n">
        <v>0</v>
      </c>
      <c r="J82" s="24" t="n">
        <v>0</v>
      </c>
      <c r="K82" s="24" t="n">
        <v>0</v>
      </c>
      <c r="L82" s="24" t="n">
        <v>0</v>
      </c>
      <c r="M82" s="24" t="n">
        <v>0</v>
      </c>
      <c r="N82" s="24" t="n">
        <v>0</v>
      </c>
      <c r="O82" s="24" t="n">
        <v>0</v>
      </c>
      <c r="P82" s="24" t="n">
        <v>0</v>
      </c>
      <c r="Q82" s="24" t="n">
        <v>7</v>
      </c>
      <c r="R82" s="24" t="n">
        <v>0</v>
      </c>
      <c r="S82" s="24" t="n">
        <v>0</v>
      </c>
      <c r="T82" s="24" t="n">
        <v>0</v>
      </c>
      <c r="U82" s="24" t="n">
        <v>7</v>
      </c>
      <c r="V82" s="24" t="n">
        <v>15</v>
      </c>
      <c r="W82" s="24" t="n">
        <f aca="false">N82+U82</f>
        <v>7</v>
      </c>
      <c r="X82" s="32" t="n">
        <f aca="false">IF(V82&gt;0,W82/V82,0)</f>
        <v>0.466666666666667</v>
      </c>
      <c r="Y82" s="9"/>
    </row>
    <row r="83" customFormat="false" ht="15" hidden="false" customHeight="false" outlineLevel="0" collapsed="false">
      <c r="A83" s="25" t="n">
        <v>2021</v>
      </c>
      <c r="B83" s="9" t="s">
        <v>264</v>
      </c>
      <c r="C83" s="9" t="s">
        <v>203</v>
      </c>
      <c r="D83" s="9" t="str">
        <f aca="false">INDEX(Lookups!$C$5:$C$75,MATCH($C83,Lookups!$A$5:$A$75,0))</f>
        <v>Europe</v>
      </c>
      <c r="E83" s="9" t="str">
        <f aca="false">INDEX(Lookups!$D$5:$D$75,MATCH($C83,Lookups!$A$5:$A$75,0))</f>
        <v>Europe</v>
      </c>
      <c r="F83" s="9" t="str">
        <f aca="false">IF($D83="Latin America &amp; Caribbean","Yes","No")</f>
        <v>No</v>
      </c>
      <c r="G83" s="9" t="str">
        <f aca="false">IF($C83="VEN","In-country record","Abroad")</f>
        <v>Abroad</v>
      </c>
      <c r="H83" s="24" t="n">
        <v>0</v>
      </c>
      <c r="I83" s="24" t="n">
        <v>0</v>
      </c>
      <c r="J83" s="24" t="n">
        <v>0</v>
      </c>
      <c r="K83" s="24" t="n">
        <v>0</v>
      </c>
      <c r="L83" s="24" t="n">
        <v>0</v>
      </c>
      <c r="M83" s="24" t="n">
        <v>0</v>
      </c>
      <c r="N83" s="24" t="n">
        <v>0</v>
      </c>
      <c r="O83" s="24" t="n">
        <v>0</v>
      </c>
      <c r="P83" s="24" t="n">
        <v>0</v>
      </c>
      <c r="Q83" s="24" t="n">
        <v>0</v>
      </c>
      <c r="R83" s="24" t="n">
        <v>0</v>
      </c>
      <c r="S83" s="24" t="n">
        <v>0</v>
      </c>
      <c r="T83" s="24" t="n">
        <v>0</v>
      </c>
      <c r="U83" s="24" t="n">
        <v>0</v>
      </c>
      <c r="V83" s="24" t="n">
        <v>5</v>
      </c>
      <c r="W83" s="24" t="n">
        <f aca="false">N83+U83</f>
        <v>0</v>
      </c>
      <c r="X83" s="32" t="n">
        <f aca="false">IF(V83&gt;0,W83/V83,0)</f>
        <v>0</v>
      </c>
      <c r="Y83" s="9"/>
    </row>
    <row r="84" customFormat="false" ht="15" hidden="false" customHeight="false" outlineLevel="0" collapsed="false">
      <c r="A84" s="25" t="n">
        <v>2021</v>
      </c>
      <c r="B84" s="9" t="s">
        <v>265</v>
      </c>
      <c r="C84" s="9" t="s">
        <v>164</v>
      </c>
      <c r="D84" s="9" t="str">
        <f aca="false">INDEX(Lookups!$C$5:$C$75,MATCH($C84,Lookups!$A$5:$A$75,0))</f>
        <v>Latin America &amp; Caribbean</v>
      </c>
      <c r="E84" s="9" t="str">
        <f aca="false">INDEX(Lookups!$D$5:$D$75,MATCH($C84,Lookups!$A$5:$A$75,0))</f>
        <v>Caribbean &amp; Guianas</v>
      </c>
      <c r="F84" s="9" t="str">
        <f aca="false">IF($D84="Latin America &amp; Caribbean","Yes","No")</f>
        <v>Yes</v>
      </c>
      <c r="G84" s="9" t="str">
        <f aca="false">IF($C84="VEN","In-country record","Abroad")</f>
        <v>Abroad</v>
      </c>
      <c r="H84" s="24" t="n">
        <v>0</v>
      </c>
      <c r="I84" s="24" t="n">
        <v>0</v>
      </c>
      <c r="J84" s="24" t="n">
        <v>0</v>
      </c>
      <c r="K84" s="24" t="n">
        <v>0</v>
      </c>
      <c r="L84" s="24" t="n">
        <v>0</v>
      </c>
      <c r="M84" s="24" t="n">
        <v>0</v>
      </c>
      <c r="N84" s="24" t="n">
        <v>0</v>
      </c>
      <c r="O84" s="24" t="n">
        <v>0</v>
      </c>
      <c r="P84" s="24" t="n">
        <v>0</v>
      </c>
      <c r="Q84" s="24" t="n">
        <v>0</v>
      </c>
      <c r="R84" s="24" t="n">
        <v>0</v>
      </c>
      <c r="S84" s="24" t="n">
        <v>0</v>
      </c>
      <c r="T84" s="24" t="n">
        <v>0</v>
      </c>
      <c r="U84" s="24" t="n">
        <v>0</v>
      </c>
      <c r="V84" s="24" t="n">
        <v>116278</v>
      </c>
      <c r="W84" s="24" t="n">
        <f aca="false">N84+U84</f>
        <v>0</v>
      </c>
      <c r="X84" s="32" t="n">
        <f aca="false">IF(V84&gt;0,W84/V84,0)</f>
        <v>0</v>
      </c>
      <c r="Y84" s="9" t="s">
        <v>248</v>
      </c>
    </row>
    <row r="85" customFormat="false" ht="15" hidden="false" customHeight="false" outlineLevel="0" collapsed="false">
      <c r="A85" s="25" t="n">
        <v>2021</v>
      </c>
      <c r="B85" s="9" t="s">
        <v>266</v>
      </c>
      <c r="C85" s="9" t="s">
        <v>159</v>
      </c>
      <c r="D85" s="9" t="str">
        <f aca="false">INDEX(Lookups!$C$5:$C$75,MATCH($C85,Lookups!$A$5:$A$75,0))</f>
        <v>Latin America &amp; Caribbean</v>
      </c>
      <c r="E85" s="9" t="str">
        <f aca="false">INDEX(Lookups!$D$5:$D$75,MATCH($C85,Lookups!$A$5:$A$75,0))</f>
        <v>Andean region</v>
      </c>
      <c r="F85" s="9" t="str">
        <f aca="false">IF($D85="Latin America &amp; Caribbean","Yes","No")</f>
        <v>Yes</v>
      </c>
      <c r="G85" s="9" t="str">
        <f aca="false">IF($C85="VEN","In-country record","Abroad")</f>
        <v>Abroad</v>
      </c>
      <c r="H85" s="24" t="n">
        <v>106</v>
      </c>
      <c r="I85" s="24" t="n">
        <v>321</v>
      </c>
      <c r="J85" s="24" t="n">
        <v>199</v>
      </c>
      <c r="K85" s="24" t="n">
        <v>1746</v>
      </c>
      <c r="L85" s="24" t="n">
        <v>57</v>
      </c>
      <c r="M85" s="24" t="n">
        <v>271824</v>
      </c>
      <c r="N85" s="24" t="n">
        <v>274253</v>
      </c>
      <c r="O85" s="24" t="n">
        <v>127</v>
      </c>
      <c r="P85" s="24" t="n">
        <v>372</v>
      </c>
      <c r="Q85" s="24" t="n">
        <v>185</v>
      </c>
      <c r="R85" s="24" t="n">
        <v>1893</v>
      </c>
      <c r="S85" s="24" t="n">
        <v>47</v>
      </c>
      <c r="T85" s="24" t="n">
        <v>232058</v>
      </c>
      <c r="U85" s="24" t="n">
        <v>234682</v>
      </c>
      <c r="V85" s="24" t="n">
        <v>508935</v>
      </c>
      <c r="W85" s="24" t="n">
        <f aca="false">N85+U85</f>
        <v>508935</v>
      </c>
      <c r="X85" s="32" t="n">
        <f aca="false">IF(V85&gt;0,W85/V85,0)</f>
        <v>1</v>
      </c>
      <c r="Y85" s="9"/>
    </row>
    <row r="86" customFormat="false" ht="15" hidden="false" customHeight="false" outlineLevel="0" collapsed="false">
      <c r="A86" s="25" t="n">
        <v>2021</v>
      </c>
      <c r="B86" s="9" t="s">
        <v>267</v>
      </c>
      <c r="C86" s="9" t="s">
        <v>197</v>
      </c>
      <c r="D86" s="9" t="str">
        <f aca="false">INDEX(Lookups!$C$5:$C$75,MATCH($C86,Lookups!$A$5:$A$75,0))</f>
        <v>Latin America &amp; Caribbean</v>
      </c>
      <c r="E86" s="9" t="str">
        <f aca="false">INDEX(Lookups!$D$5:$D$75,MATCH($C86,Lookups!$A$5:$A$75,0))</f>
        <v>Central America &amp; Mexico</v>
      </c>
      <c r="F86" s="9" t="str">
        <f aca="false">IF($D86="Latin America &amp; Caribbean","Yes","No")</f>
        <v>Yes</v>
      </c>
      <c r="G86" s="9" t="str">
        <f aca="false">IF($C86="VEN","In-country record","Abroad")</f>
        <v>Abroad</v>
      </c>
      <c r="H86" s="24" t="n">
        <v>0</v>
      </c>
      <c r="I86" s="24" t="n">
        <v>0</v>
      </c>
      <c r="J86" s="24" t="n">
        <v>5</v>
      </c>
      <c r="K86" s="24" t="n">
        <v>5</v>
      </c>
      <c r="L86" s="24" t="n">
        <v>0</v>
      </c>
      <c r="M86" s="24" t="n">
        <v>0</v>
      </c>
      <c r="N86" s="24" t="n">
        <v>10</v>
      </c>
      <c r="O86" s="24" t="n">
        <v>0</v>
      </c>
      <c r="P86" s="24" t="n">
        <v>0</v>
      </c>
      <c r="Q86" s="24" t="n">
        <v>0</v>
      </c>
      <c r="R86" s="24" t="n">
        <v>15</v>
      </c>
      <c r="S86" s="24" t="n">
        <v>0</v>
      </c>
      <c r="T86" s="24" t="n">
        <v>0</v>
      </c>
      <c r="U86" s="24" t="n">
        <v>15</v>
      </c>
      <c r="V86" s="24" t="n">
        <v>25</v>
      </c>
      <c r="W86" s="24" t="n">
        <f aca="false">N86+U86</f>
        <v>25</v>
      </c>
      <c r="X86" s="32" t="n">
        <f aca="false">IF(V86&gt;0,W86/V86,0)</f>
        <v>1</v>
      </c>
      <c r="Y86" s="9"/>
    </row>
    <row r="87" customFormat="false" ht="15" hidden="false" customHeight="false" outlineLevel="0" collapsed="false">
      <c r="A87" s="25" t="n">
        <v>2021</v>
      </c>
      <c r="B87" s="9" t="s">
        <v>268</v>
      </c>
      <c r="C87" s="9" t="s">
        <v>198</v>
      </c>
      <c r="D87" s="9" t="str">
        <f aca="false">INDEX(Lookups!$C$5:$C$75,MATCH($C87,Lookups!$A$5:$A$75,0))</f>
        <v>Europe</v>
      </c>
      <c r="E87" s="9" t="str">
        <f aca="false">INDEX(Lookups!$D$5:$D$75,MATCH($C87,Lookups!$A$5:$A$75,0))</f>
        <v>Europe</v>
      </c>
      <c r="F87" s="9" t="str">
        <f aca="false">IF($D87="Latin America &amp; Caribbean","Yes","No")</f>
        <v>No</v>
      </c>
      <c r="G87" s="9" t="str">
        <f aca="false">IF($C87="VEN","In-country record","Abroad")</f>
        <v>Abroad</v>
      </c>
      <c r="H87" s="24" t="n">
        <v>0</v>
      </c>
      <c r="I87" s="24" t="n">
        <v>0</v>
      </c>
      <c r="J87" s="24" t="n">
        <v>0</v>
      </c>
      <c r="K87" s="24" t="n">
        <v>0</v>
      </c>
      <c r="L87" s="24" t="n">
        <v>0</v>
      </c>
      <c r="M87" s="24" t="n">
        <v>6</v>
      </c>
      <c r="N87" s="24" t="n">
        <v>6</v>
      </c>
      <c r="O87" s="24" t="n">
        <v>0</v>
      </c>
      <c r="P87" s="24" t="n">
        <v>0</v>
      </c>
      <c r="Q87" s="24" t="n">
        <v>0</v>
      </c>
      <c r="R87" s="24" t="n">
        <v>0</v>
      </c>
      <c r="S87" s="24" t="n">
        <v>0</v>
      </c>
      <c r="T87" s="24" t="n">
        <v>0</v>
      </c>
      <c r="U87" s="24" t="n">
        <v>0</v>
      </c>
      <c r="V87" s="24" t="n">
        <v>13</v>
      </c>
      <c r="W87" s="24" t="n">
        <f aca="false">N87+U87</f>
        <v>6</v>
      </c>
      <c r="X87" s="32" t="n">
        <f aca="false">IF(V87&gt;0,W87/V87,0)</f>
        <v>0.461538461538462</v>
      </c>
      <c r="Y87" s="9"/>
    </row>
    <row r="88" customFormat="false" ht="15" hidden="false" customHeight="false" outlineLevel="0" collapsed="false">
      <c r="A88" s="25" t="n">
        <v>2021</v>
      </c>
      <c r="B88" s="9" t="s">
        <v>269</v>
      </c>
      <c r="C88" s="9" t="s">
        <v>179</v>
      </c>
      <c r="D88" s="9" t="str">
        <f aca="false">INDEX(Lookups!$C$5:$C$75,MATCH($C88,Lookups!$A$5:$A$75,0))</f>
        <v>Europe</v>
      </c>
      <c r="E88" s="9" t="str">
        <f aca="false">INDEX(Lookups!$D$5:$D$75,MATCH($C88,Lookups!$A$5:$A$75,0))</f>
        <v>Europe</v>
      </c>
      <c r="F88" s="9" t="str">
        <f aca="false">IF($D88="Latin America &amp; Caribbean","Yes","No")</f>
        <v>No</v>
      </c>
      <c r="G88" s="9" t="str">
        <f aca="false">IF($C88="VEN","In-country record","Abroad")</f>
        <v>Abroad</v>
      </c>
      <c r="H88" s="24" t="n">
        <v>0</v>
      </c>
      <c r="I88" s="24" t="n">
        <v>0</v>
      </c>
      <c r="J88" s="24" t="n">
        <v>0</v>
      </c>
      <c r="K88" s="24" t="n">
        <v>0</v>
      </c>
      <c r="L88" s="24" t="n">
        <v>0</v>
      </c>
      <c r="M88" s="24" t="n">
        <v>0</v>
      </c>
      <c r="N88" s="24" t="n">
        <v>0</v>
      </c>
      <c r="O88" s="24" t="n">
        <v>0</v>
      </c>
      <c r="P88" s="24" t="n">
        <v>0</v>
      </c>
      <c r="Q88" s="24" t="n">
        <v>0</v>
      </c>
      <c r="R88" s="24" t="n">
        <v>0</v>
      </c>
      <c r="S88" s="24" t="n">
        <v>0</v>
      </c>
      <c r="T88" s="24" t="n">
        <v>0</v>
      </c>
      <c r="U88" s="24" t="n">
        <v>0</v>
      </c>
      <c r="V88" s="24" t="n">
        <v>1657</v>
      </c>
      <c r="W88" s="24" t="n">
        <f aca="false">N88+U88</f>
        <v>0</v>
      </c>
      <c r="X88" s="32" t="n">
        <f aca="false">IF(V88&gt;0,W88/V88,0)</f>
        <v>0</v>
      </c>
      <c r="Y88" s="9" t="s">
        <v>248</v>
      </c>
    </row>
    <row r="89" customFormat="false" ht="15" hidden="false" customHeight="false" outlineLevel="0" collapsed="false">
      <c r="A89" s="25" t="n">
        <v>2021</v>
      </c>
      <c r="B89" s="9" t="s">
        <v>270</v>
      </c>
      <c r="C89" s="9" t="s">
        <v>175</v>
      </c>
      <c r="D89" s="9" t="str">
        <f aca="false">INDEX(Lookups!$C$5:$C$75,MATCH($C89,Lookups!$A$5:$A$75,0))</f>
        <v>Europe</v>
      </c>
      <c r="E89" s="9" t="str">
        <f aca="false">INDEX(Lookups!$D$5:$D$75,MATCH($C89,Lookups!$A$5:$A$75,0))</f>
        <v>Europe</v>
      </c>
      <c r="F89" s="9" t="str">
        <f aca="false">IF($D89="Latin America &amp; Caribbean","Yes","No")</f>
        <v>No</v>
      </c>
      <c r="G89" s="9" t="str">
        <f aca="false">IF($C89="VEN","In-country record","Abroad")</f>
        <v>Abroad</v>
      </c>
      <c r="H89" s="24" t="n">
        <v>44</v>
      </c>
      <c r="I89" s="24" t="n">
        <v>82</v>
      </c>
      <c r="J89" s="24" t="n">
        <v>66</v>
      </c>
      <c r="K89" s="24" t="n">
        <v>584</v>
      </c>
      <c r="L89" s="24" t="n">
        <v>81</v>
      </c>
      <c r="M89" s="24" t="n">
        <v>0</v>
      </c>
      <c r="N89" s="24" t="n">
        <v>857</v>
      </c>
      <c r="O89" s="24" t="n">
        <v>51</v>
      </c>
      <c r="P89" s="24" t="n">
        <v>90</v>
      </c>
      <c r="Q89" s="24" t="n">
        <v>57</v>
      </c>
      <c r="R89" s="24" t="n">
        <v>747</v>
      </c>
      <c r="S89" s="24" t="n">
        <v>39</v>
      </c>
      <c r="T89" s="24" t="n">
        <v>0</v>
      </c>
      <c r="U89" s="24" t="n">
        <v>984</v>
      </c>
      <c r="V89" s="24" t="n">
        <v>1841</v>
      </c>
      <c r="W89" s="24" t="n">
        <f aca="false">N89+U89</f>
        <v>1841</v>
      </c>
      <c r="X89" s="32" t="n">
        <f aca="false">IF(V89&gt;0,W89/V89,0)</f>
        <v>1</v>
      </c>
      <c r="Y89" s="9"/>
    </row>
    <row r="90" customFormat="false" ht="15" hidden="false" customHeight="false" outlineLevel="0" collapsed="false">
      <c r="A90" s="25" t="n">
        <v>2021</v>
      </c>
      <c r="B90" s="9" t="s">
        <v>271</v>
      </c>
      <c r="C90" s="9" t="s">
        <v>199</v>
      </c>
      <c r="D90" s="9" t="str">
        <f aca="false">INDEX(Lookups!$C$5:$C$75,MATCH($C90,Lookups!$A$5:$A$75,0))</f>
        <v>Europe</v>
      </c>
      <c r="E90" s="9" t="str">
        <f aca="false">INDEX(Lookups!$D$5:$D$75,MATCH($C90,Lookups!$A$5:$A$75,0))</f>
        <v>Europe</v>
      </c>
      <c r="F90" s="9" t="str">
        <f aca="false">IF($D90="Latin America &amp; Caribbean","Yes","No")</f>
        <v>No</v>
      </c>
      <c r="G90" s="9" t="str">
        <f aca="false">IF($C90="VEN","In-country record","Abroad")</f>
        <v>Abroad</v>
      </c>
      <c r="H90" s="24" t="n">
        <v>0</v>
      </c>
      <c r="I90" s="24" t="n">
        <v>0</v>
      </c>
      <c r="J90" s="24" t="n">
        <v>0</v>
      </c>
      <c r="K90" s="24" t="n">
        <v>0</v>
      </c>
      <c r="L90" s="24" t="n">
        <v>0</v>
      </c>
      <c r="M90" s="24" t="n">
        <v>5</v>
      </c>
      <c r="N90" s="24" t="n">
        <v>5</v>
      </c>
      <c r="O90" s="24" t="n">
        <v>0</v>
      </c>
      <c r="P90" s="24" t="n">
        <v>0</v>
      </c>
      <c r="Q90" s="24" t="n">
        <v>0</v>
      </c>
      <c r="R90" s="24" t="n">
        <v>0</v>
      </c>
      <c r="S90" s="24" t="n">
        <v>0</v>
      </c>
      <c r="T90" s="24" t="n">
        <v>0</v>
      </c>
      <c r="U90" s="24" t="n">
        <v>0</v>
      </c>
      <c r="V90" s="24" t="n">
        <v>19</v>
      </c>
      <c r="W90" s="24" t="n">
        <f aca="false">N90+U90</f>
        <v>5</v>
      </c>
      <c r="X90" s="32" t="n">
        <f aca="false">IF(V90&gt;0,W90/V90,0)</f>
        <v>0.263157894736842</v>
      </c>
      <c r="Y90" s="9"/>
    </row>
    <row r="91" customFormat="false" ht="15" hidden="false" customHeight="false" outlineLevel="0" collapsed="false">
      <c r="A91" s="25" t="n">
        <v>2021</v>
      </c>
      <c r="B91" s="9" t="s">
        <v>272</v>
      </c>
      <c r="C91" s="9" t="s">
        <v>218</v>
      </c>
      <c r="D91" s="9" t="str">
        <f aca="false">INDEX(Lookups!$C$5:$C$75,MATCH($C91,Lookups!$A$5:$A$75,0))</f>
        <v>Latin America &amp; Caribbean</v>
      </c>
      <c r="E91" s="9" t="str">
        <f aca="false">INDEX(Lookups!$D$5:$D$75,MATCH($C91,Lookups!$A$5:$A$75,0))</f>
        <v>Caribbean &amp; Guianas</v>
      </c>
      <c r="F91" s="9" t="str">
        <f aca="false">IF($D91="Latin America &amp; Caribbean","Yes","No")</f>
        <v>Yes</v>
      </c>
      <c r="G91" s="9" t="str">
        <f aca="false">IF($C91="VEN","In-country record","Abroad")</f>
        <v>Abroad</v>
      </c>
      <c r="H91" s="24" t="n">
        <v>0</v>
      </c>
      <c r="I91" s="24" t="n">
        <v>0</v>
      </c>
      <c r="J91" s="24" t="n">
        <v>0</v>
      </c>
      <c r="K91" s="24" t="n">
        <v>0</v>
      </c>
      <c r="L91" s="24" t="n">
        <v>0</v>
      </c>
      <c r="M91" s="24" t="n">
        <v>0</v>
      </c>
      <c r="N91" s="24" t="n">
        <v>0</v>
      </c>
      <c r="O91" s="24" t="n">
        <v>0</v>
      </c>
      <c r="P91" s="24" t="n">
        <v>0</v>
      </c>
      <c r="Q91" s="24" t="n">
        <v>0</v>
      </c>
      <c r="R91" s="24" t="n">
        <v>0</v>
      </c>
      <c r="S91" s="24" t="n">
        <v>0</v>
      </c>
      <c r="T91" s="24" t="n">
        <v>0</v>
      </c>
      <c r="U91" s="24" t="n">
        <v>0</v>
      </c>
      <c r="V91" s="24" t="n">
        <v>234</v>
      </c>
      <c r="W91" s="24" t="n">
        <f aca="false">N91+U91</f>
        <v>0</v>
      </c>
      <c r="X91" s="32" t="n">
        <f aca="false">IF(V91&gt;0,W91/V91,0)</f>
        <v>0</v>
      </c>
      <c r="Y91" s="9"/>
    </row>
    <row r="92" customFormat="false" ht="15" hidden="false" customHeight="false" outlineLevel="0" collapsed="false">
      <c r="A92" s="25" t="n">
        <v>2021</v>
      </c>
      <c r="B92" s="9" t="s">
        <v>273</v>
      </c>
      <c r="C92" s="9" t="s">
        <v>172</v>
      </c>
      <c r="D92" s="9" t="str">
        <f aca="false">INDEX(Lookups!$C$5:$C$75,MATCH($C92,Lookups!$A$5:$A$75,0))</f>
        <v>Latin America &amp; Caribbean</v>
      </c>
      <c r="E92" s="9" t="str">
        <f aca="false">INDEX(Lookups!$D$5:$D$75,MATCH($C92,Lookups!$A$5:$A$75,0))</f>
        <v>Central America &amp; Mexico</v>
      </c>
      <c r="F92" s="9" t="str">
        <f aca="false">IF($D92="Latin America &amp; Caribbean","Yes","No")</f>
        <v>Yes</v>
      </c>
      <c r="G92" s="9" t="str">
        <f aca="false">IF($C92="VEN","In-country record","Abroad")</f>
        <v>Abroad</v>
      </c>
      <c r="H92" s="24" t="n">
        <v>0</v>
      </c>
      <c r="I92" s="24" t="n">
        <v>8</v>
      </c>
      <c r="J92" s="24" t="n">
        <v>11</v>
      </c>
      <c r="K92" s="24" t="n">
        <v>50</v>
      </c>
      <c r="L92" s="24" t="n">
        <v>8</v>
      </c>
      <c r="M92" s="24" t="n">
        <v>633</v>
      </c>
      <c r="N92" s="24" t="n">
        <v>710</v>
      </c>
      <c r="O92" s="24" t="n">
        <v>0</v>
      </c>
      <c r="P92" s="24" t="n">
        <v>16</v>
      </c>
      <c r="Q92" s="24" t="n">
        <v>0</v>
      </c>
      <c r="R92" s="24" t="n">
        <v>64</v>
      </c>
      <c r="S92" s="24" t="n">
        <v>5</v>
      </c>
      <c r="T92" s="24" t="n">
        <v>836</v>
      </c>
      <c r="U92" s="24" t="n">
        <v>921</v>
      </c>
      <c r="V92" s="24" t="n">
        <v>1631</v>
      </c>
      <c r="W92" s="24" t="n">
        <f aca="false">N92+U92</f>
        <v>1631</v>
      </c>
      <c r="X92" s="32" t="n">
        <f aca="false">IF(V92&gt;0,W92/V92,0)</f>
        <v>1</v>
      </c>
      <c r="Y92" s="9"/>
    </row>
    <row r="93" customFormat="false" ht="15" hidden="false" customHeight="false" outlineLevel="0" collapsed="false">
      <c r="A93" s="25" t="n">
        <v>2021</v>
      </c>
      <c r="B93" s="9" t="s">
        <v>274</v>
      </c>
      <c r="C93" s="9" t="s">
        <v>169</v>
      </c>
      <c r="D93" s="9" t="str">
        <f aca="false">INDEX(Lookups!$C$5:$C$75,MATCH($C93,Lookups!$A$5:$A$75,0))</f>
        <v>Latin America &amp; Caribbean</v>
      </c>
      <c r="E93" s="9" t="str">
        <f aca="false">INDEX(Lookups!$D$5:$D$75,MATCH($C93,Lookups!$A$5:$A$75,0))</f>
        <v>Caribbean &amp; Guianas</v>
      </c>
      <c r="F93" s="9" t="str">
        <f aca="false">IF($D93="Latin America &amp; Caribbean","Yes","No")</f>
        <v>Yes</v>
      </c>
      <c r="G93" s="9" t="str">
        <f aca="false">IF($C93="VEN","In-country record","Abroad")</f>
        <v>Abroad</v>
      </c>
      <c r="H93" s="24" t="n">
        <v>0</v>
      </c>
      <c r="I93" s="24" t="n">
        <v>0</v>
      </c>
      <c r="J93" s="24" t="n">
        <v>0</v>
      </c>
      <c r="K93" s="24" t="n">
        <v>0</v>
      </c>
      <c r="L93" s="24" t="n">
        <v>0</v>
      </c>
      <c r="M93" s="24" t="n">
        <v>0</v>
      </c>
      <c r="N93" s="24" t="n">
        <v>0</v>
      </c>
      <c r="O93" s="24" t="n">
        <v>0</v>
      </c>
      <c r="P93" s="24" t="n">
        <v>0</v>
      </c>
      <c r="Q93" s="24" t="n">
        <v>0</v>
      </c>
      <c r="R93" s="24" t="n">
        <v>0</v>
      </c>
      <c r="S93" s="24" t="n">
        <v>0</v>
      </c>
      <c r="T93" s="24" t="n">
        <v>0</v>
      </c>
      <c r="U93" s="24" t="n">
        <v>0</v>
      </c>
      <c r="V93" s="24" t="n">
        <v>25800</v>
      </c>
      <c r="W93" s="24" t="n">
        <f aca="false">N93+U93</f>
        <v>0</v>
      </c>
      <c r="X93" s="32" t="n">
        <f aca="false">IF(V93&gt;0,W93/V93,0)</f>
        <v>0</v>
      </c>
      <c r="Y93" s="9" t="s">
        <v>248</v>
      </c>
    </row>
    <row r="94" customFormat="false" ht="15" hidden="false" customHeight="false" outlineLevel="0" collapsed="false">
      <c r="A94" s="25" t="n">
        <v>2021</v>
      </c>
      <c r="B94" s="9" t="s">
        <v>275</v>
      </c>
      <c r="C94" s="9" t="s">
        <v>170</v>
      </c>
      <c r="D94" s="9" t="str">
        <f aca="false">INDEX(Lookups!$C$5:$C$75,MATCH($C94,Lookups!$A$5:$A$75,0))</f>
        <v>Latin America &amp; Caribbean</v>
      </c>
      <c r="E94" s="9" t="str">
        <f aca="false">INDEX(Lookups!$D$5:$D$75,MATCH($C94,Lookups!$A$5:$A$75,0))</f>
        <v>Central America &amp; Mexico</v>
      </c>
      <c r="F94" s="9" t="str">
        <f aca="false">IF($D94="Latin America &amp; Caribbean","Yes","No")</f>
        <v>Yes</v>
      </c>
      <c r="G94" s="9" t="str">
        <f aca="false">IF($C94="VEN","In-country record","Abroad")</f>
        <v>Abroad</v>
      </c>
      <c r="H94" s="24" t="n">
        <v>0</v>
      </c>
      <c r="I94" s="24" t="n">
        <v>0</v>
      </c>
      <c r="J94" s="24" t="n">
        <v>0</v>
      </c>
      <c r="K94" s="24" t="n">
        <v>0</v>
      </c>
      <c r="L94" s="24" t="n">
        <v>0</v>
      </c>
      <c r="M94" s="24" t="n">
        <v>0</v>
      </c>
      <c r="N94" s="24" t="n">
        <v>0</v>
      </c>
      <c r="O94" s="24" t="n">
        <v>0</v>
      </c>
      <c r="P94" s="24" t="n">
        <v>0</v>
      </c>
      <c r="Q94" s="24" t="n">
        <v>0</v>
      </c>
      <c r="R94" s="24" t="n">
        <v>0</v>
      </c>
      <c r="S94" s="24" t="n">
        <v>0</v>
      </c>
      <c r="T94" s="24" t="n">
        <v>0</v>
      </c>
      <c r="U94" s="24" t="n">
        <v>0</v>
      </c>
      <c r="V94" s="24" t="n">
        <v>25</v>
      </c>
      <c r="W94" s="24" t="n">
        <f aca="false">N94+U94</f>
        <v>0</v>
      </c>
      <c r="X94" s="32" t="n">
        <f aca="false">IF(V94&gt;0,W94/V94,0)</f>
        <v>0</v>
      </c>
      <c r="Y94" s="9"/>
    </row>
    <row r="95" customFormat="false" ht="15" hidden="false" customHeight="false" outlineLevel="0" collapsed="false">
      <c r="A95" s="25" t="n">
        <v>2021</v>
      </c>
      <c r="B95" s="9" t="s">
        <v>276</v>
      </c>
      <c r="C95" s="9" t="s">
        <v>180</v>
      </c>
      <c r="D95" s="9" t="str">
        <f aca="false">INDEX(Lookups!$C$5:$C$75,MATCH($C95,Lookups!$A$5:$A$75,0))</f>
        <v>Europe</v>
      </c>
      <c r="E95" s="9" t="str">
        <f aca="false">INDEX(Lookups!$D$5:$D$75,MATCH($C95,Lookups!$A$5:$A$75,0))</f>
        <v>Europe</v>
      </c>
      <c r="F95" s="9" t="str">
        <f aca="false">IF($D95="Latin America &amp; Caribbean","Yes","No")</f>
        <v>No</v>
      </c>
      <c r="G95" s="9" t="str">
        <f aca="false">IF($C95="VEN","In-country record","Abroad")</f>
        <v>Abroad</v>
      </c>
      <c r="H95" s="24" t="n">
        <v>0</v>
      </c>
      <c r="I95" s="24" t="n">
        <v>0</v>
      </c>
      <c r="J95" s="24" t="n">
        <v>0</v>
      </c>
      <c r="K95" s="24" t="n">
        <v>0</v>
      </c>
      <c r="L95" s="24" t="n">
        <v>0</v>
      </c>
      <c r="M95" s="24" t="n">
        <v>0</v>
      </c>
      <c r="N95" s="24" t="n">
        <v>0</v>
      </c>
      <c r="O95" s="24" t="n">
        <v>0</v>
      </c>
      <c r="P95" s="24" t="n">
        <v>0</v>
      </c>
      <c r="Q95" s="24" t="n">
        <v>0</v>
      </c>
      <c r="R95" s="24" t="n">
        <v>0</v>
      </c>
      <c r="S95" s="24" t="n">
        <v>0</v>
      </c>
      <c r="T95" s="24" t="n">
        <v>0</v>
      </c>
      <c r="U95" s="24" t="n">
        <v>0</v>
      </c>
      <c r="V95" s="24" t="n">
        <v>619</v>
      </c>
      <c r="W95" s="24" t="n">
        <f aca="false">N95+U95</f>
        <v>0</v>
      </c>
      <c r="X95" s="32" t="n">
        <f aca="false">IF(V95&gt;0,W95/V95,0)</f>
        <v>0</v>
      </c>
      <c r="Y95" s="9"/>
    </row>
    <row r="96" customFormat="false" ht="15" hidden="false" customHeight="false" outlineLevel="0" collapsed="false">
      <c r="A96" s="25" t="n">
        <v>2021</v>
      </c>
      <c r="B96" s="9" t="s">
        <v>277</v>
      </c>
      <c r="C96" s="9" t="s">
        <v>202</v>
      </c>
      <c r="D96" s="9" t="str">
        <f aca="false">INDEX(Lookups!$C$5:$C$75,MATCH($C96,Lookups!$A$5:$A$75,0))</f>
        <v>Other regions</v>
      </c>
      <c r="E96" s="9" t="str">
        <f aca="false">INDEX(Lookups!$D$5:$D$75,MATCH($C96,Lookups!$A$5:$A$75,0))</f>
        <v>Rest of world</v>
      </c>
      <c r="F96" s="9" t="str">
        <f aca="false">IF($D96="Latin America &amp; Caribbean","Yes","No")</f>
        <v>No</v>
      </c>
      <c r="G96" s="9" t="str">
        <f aca="false">IF($C96="VEN","In-country record","Abroad")</f>
        <v>Abroad</v>
      </c>
      <c r="H96" s="24" t="n">
        <v>0</v>
      </c>
      <c r="I96" s="24" t="n">
        <v>0</v>
      </c>
      <c r="J96" s="24" t="n">
        <v>0</v>
      </c>
      <c r="K96" s="24" t="n">
        <v>11</v>
      </c>
      <c r="L96" s="24" t="n">
        <v>0</v>
      </c>
      <c r="M96" s="24" t="n">
        <v>0</v>
      </c>
      <c r="N96" s="24" t="n">
        <v>11</v>
      </c>
      <c r="O96" s="24" t="n">
        <v>0</v>
      </c>
      <c r="P96" s="24" t="n">
        <v>0</v>
      </c>
      <c r="Q96" s="24" t="n">
        <v>0</v>
      </c>
      <c r="R96" s="24" t="n">
        <v>0</v>
      </c>
      <c r="S96" s="24" t="n">
        <v>0</v>
      </c>
      <c r="T96" s="24" t="n">
        <v>0</v>
      </c>
      <c r="U96" s="24" t="n">
        <v>0</v>
      </c>
      <c r="V96" s="24" t="n">
        <v>11</v>
      </c>
      <c r="W96" s="24" t="n">
        <f aca="false">N96+U96</f>
        <v>11</v>
      </c>
      <c r="X96" s="32" t="n">
        <f aca="false">IF(V96&gt;0,W96/V96,0)</f>
        <v>1</v>
      </c>
      <c r="Y96" s="9"/>
    </row>
    <row r="97" customFormat="false" ht="15" hidden="false" customHeight="false" outlineLevel="0" collapsed="false">
      <c r="A97" s="25" t="n">
        <v>2021</v>
      </c>
      <c r="B97" s="9" t="s">
        <v>278</v>
      </c>
      <c r="C97" s="9" t="s">
        <v>220</v>
      </c>
      <c r="D97" s="9" t="str">
        <f aca="false">INDEX(Lookups!$C$5:$C$75,MATCH($C97,Lookups!$A$5:$A$75,0))</f>
        <v>Other regions</v>
      </c>
      <c r="E97" s="9" t="str">
        <f aca="false">INDEX(Lookups!$D$5:$D$75,MATCH($C97,Lookups!$A$5:$A$75,0))</f>
        <v>Rest of world</v>
      </c>
      <c r="F97" s="9" t="str">
        <f aca="false">IF($D97="Latin America &amp; Caribbean","Yes","No")</f>
        <v>No</v>
      </c>
      <c r="G97" s="9" t="str">
        <f aca="false">IF($C97="VEN","In-country record","Abroad")</f>
        <v>Abroad</v>
      </c>
      <c r="H97" s="24" t="n">
        <v>0</v>
      </c>
      <c r="I97" s="24" t="n">
        <v>0</v>
      </c>
      <c r="J97" s="24" t="n">
        <v>0</v>
      </c>
      <c r="K97" s="24" t="n">
        <v>0</v>
      </c>
      <c r="L97" s="24" t="n">
        <v>0</v>
      </c>
      <c r="M97" s="24" t="n">
        <v>0</v>
      </c>
      <c r="N97" s="24" t="n">
        <v>0</v>
      </c>
      <c r="O97" s="24" t="n">
        <v>0</v>
      </c>
      <c r="P97" s="24" t="n">
        <v>0</v>
      </c>
      <c r="Q97" s="24" t="n">
        <v>0</v>
      </c>
      <c r="R97" s="24" t="n">
        <v>5</v>
      </c>
      <c r="S97" s="24" t="n">
        <v>0</v>
      </c>
      <c r="T97" s="24" t="n">
        <v>0</v>
      </c>
      <c r="U97" s="24" t="n">
        <v>5</v>
      </c>
      <c r="V97" s="24" t="n">
        <v>5</v>
      </c>
      <c r="W97" s="24" t="n">
        <f aca="false">N97+U97</f>
        <v>5</v>
      </c>
      <c r="X97" s="32" t="n">
        <f aca="false">IF(V97&gt;0,W97/V97,0)</f>
        <v>1</v>
      </c>
      <c r="Y97" s="9"/>
    </row>
    <row r="98" customFormat="false" ht="15" hidden="false" customHeight="false" outlineLevel="0" collapsed="false">
      <c r="A98" s="25" t="n">
        <v>2021</v>
      </c>
      <c r="B98" s="9" t="s">
        <v>279</v>
      </c>
      <c r="C98" s="9" t="s">
        <v>190</v>
      </c>
      <c r="D98" s="9" t="str">
        <f aca="false">INDEX(Lookups!$C$5:$C$75,MATCH($C98,Lookups!$A$5:$A$75,0))</f>
        <v>Europe</v>
      </c>
      <c r="E98" s="9" t="str">
        <f aca="false">INDEX(Lookups!$D$5:$D$75,MATCH($C98,Lookups!$A$5:$A$75,0))</f>
        <v>Europe</v>
      </c>
      <c r="F98" s="9" t="str">
        <f aca="false">IF($D98="Latin America &amp; Caribbean","Yes","No")</f>
        <v>No</v>
      </c>
      <c r="G98" s="9" t="str">
        <f aca="false">IF($C98="VEN","In-country record","Abroad")</f>
        <v>Abroad</v>
      </c>
      <c r="H98" s="24" t="n">
        <v>0</v>
      </c>
      <c r="I98" s="24" t="n">
        <v>7</v>
      </c>
      <c r="J98" s="24" t="n">
        <v>5</v>
      </c>
      <c r="K98" s="24" t="n">
        <v>67</v>
      </c>
      <c r="L98" s="24" t="n">
        <v>12</v>
      </c>
      <c r="M98" s="24" t="n">
        <v>0</v>
      </c>
      <c r="N98" s="24" t="n">
        <v>91</v>
      </c>
      <c r="O98" s="24" t="n">
        <v>5</v>
      </c>
      <c r="P98" s="24" t="n">
        <v>5</v>
      </c>
      <c r="Q98" s="24" t="n">
        <v>0</v>
      </c>
      <c r="R98" s="24" t="n">
        <v>95</v>
      </c>
      <c r="S98" s="24" t="n">
        <v>5</v>
      </c>
      <c r="T98" s="24" t="n">
        <v>0</v>
      </c>
      <c r="U98" s="24" t="n">
        <v>110</v>
      </c>
      <c r="V98" s="24" t="n">
        <v>201</v>
      </c>
      <c r="W98" s="24" t="n">
        <f aca="false">N98+U98</f>
        <v>201</v>
      </c>
      <c r="X98" s="32" t="n">
        <f aca="false">IF(V98&gt;0,W98/V98,0)</f>
        <v>1</v>
      </c>
      <c r="Y98" s="9"/>
    </row>
    <row r="99" customFormat="false" ht="15" hidden="false" customHeight="false" outlineLevel="0" collapsed="false">
      <c r="A99" s="25" t="n">
        <v>2021</v>
      </c>
      <c r="B99" s="9" t="s">
        <v>280</v>
      </c>
      <c r="C99" s="9" t="s">
        <v>219</v>
      </c>
      <c r="D99" s="9" t="str">
        <f aca="false">INDEX(Lookups!$C$5:$C$75,MATCH($C99,Lookups!$A$5:$A$75,0))</f>
        <v>Other regions</v>
      </c>
      <c r="E99" s="9" t="str">
        <f aca="false">INDEX(Lookups!$D$5:$D$75,MATCH($C99,Lookups!$A$5:$A$75,0))</f>
        <v>Rest of world</v>
      </c>
      <c r="F99" s="9" t="str">
        <f aca="false">IF($D99="Latin America &amp; Caribbean","Yes","No")</f>
        <v>No</v>
      </c>
      <c r="G99" s="9" t="str">
        <f aca="false">IF($C99="VEN","In-country record","Abroad")</f>
        <v>Abroad</v>
      </c>
      <c r="H99" s="24" t="n">
        <v>0</v>
      </c>
      <c r="I99" s="24" t="n">
        <v>0</v>
      </c>
      <c r="J99" s="24" t="n">
        <v>0</v>
      </c>
      <c r="K99" s="24" t="n">
        <v>0</v>
      </c>
      <c r="L99" s="24" t="n">
        <v>0</v>
      </c>
      <c r="M99" s="24" t="n">
        <v>0</v>
      </c>
      <c r="N99" s="24" t="n">
        <v>0</v>
      </c>
      <c r="O99" s="24" t="n">
        <v>0</v>
      </c>
      <c r="P99" s="24" t="n">
        <v>0</v>
      </c>
      <c r="Q99" s="24" t="n">
        <v>0</v>
      </c>
      <c r="R99" s="24" t="n">
        <v>0</v>
      </c>
      <c r="S99" s="24" t="n">
        <v>0</v>
      </c>
      <c r="T99" s="24" t="n">
        <v>0</v>
      </c>
      <c r="U99" s="24" t="n">
        <v>0</v>
      </c>
      <c r="V99" s="24" t="n">
        <v>5</v>
      </c>
      <c r="W99" s="24" t="n">
        <f aca="false">N99+U99</f>
        <v>0</v>
      </c>
      <c r="X99" s="32" t="n">
        <f aca="false">IF(V99&gt;0,W99/V99,0)</f>
        <v>0</v>
      </c>
      <c r="Y99" s="9"/>
    </row>
    <row r="100" customFormat="false" ht="15" hidden="false" customHeight="false" outlineLevel="0" collapsed="false">
      <c r="A100" s="25" t="n">
        <v>2021</v>
      </c>
      <c r="B100" s="9" t="s">
        <v>281</v>
      </c>
      <c r="C100" s="9" t="s">
        <v>174</v>
      </c>
      <c r="D100" s="9" t="str">
        <f aca="false">INDEX(Lookups!$C$5:$C$75,MATCH($C100,Lookups!$A$5:$A$75,0))</f>
        <v>Europe</v>
      </c>
      <c r="E100" s="9" t="str">
        <f aca="false">INDEX(Lookups!$D$5:$D$75,MATCH($C100,Lookups!$A$5:$A$75,0))</f>
        <v>Europe</v>
      </c>
      <c r="F100" s="9" t="str">
        <f aca="false">IF($D100="Latin America &amp; Caribbean","Yes","No")</f>
        <v>No</v>
      </c>
      <c r="G100" s="9" t="str">
        <f aca="false">IF($C100="VEN","In-country record","Abroad")</f>
        <v>Abroad</v>
      </c>
      <c r="H100" s="24" t="n">
        <v>0</v>
      </c>
      <c r="I100" s="24" t="n">
        <v>0</v>
      </c>
      <c r="J100" s="24" t="n">
        <v>0</v>
      </c>
      <c r="K100" s="24" t="n">
        <v>0</v>
      </c>
      <c r="L100" s="24" t="n">
        <v>0</v>
      </c>
      <c r="M100" s="24" t="n">
        <v>231</v>
      </c>
      <c r="N100" s="24" t="n">
        <v>231</v>
      </c>
      <c r="O100" s="24" t="n">
        <v>0</v>
      </c>
      <c r="P100" s="24" t="n">
        <v>0</v>
      </c>
      <c r="Q100" s="24" t="n">
        <v>0</v>
      </c>
      <c r="R100" s="24" t="n">
        <v>0</v>
      </c>
      <c r="S100" s="24" t="n">
        <v>0</v>
      </c>
      <c r="T100" s="24" t="n">
        <v>160</v>
      </c>
      <c r="U100" s="24" t="n">
        <v>160</v>
      </c>
      <c r="V100" s="24" t="n">
        <v>3297</v>
      </c>
      <c r="W100" s="24" t="n">
        <f aca="false">N100+U100</f>
        <v>391</v>
      </c>
      <c r="X100" s="32" t="n">
        <f aca="false">IF(V100&gt;0,W100/V100,0)</f>
        <v>0.118592659993934</v>
      </c>
      <c r="Y100" s="9" t="s">
        <v>248</v>
      </c>
    </row>
    <row r="101" customFormat="false" ht="15" hidden="false" customHeight="false" outlineLevel="0" collapsed="false">
      <c r="A101" s="25" t="n">
        <v>2021</v>
      </c>
      <c r="B101" s="9" t="s">
        <v>282</v>
      </c>
      <c r="C101" s="9" t="s">
        <v>217</v>
      </c>
      <c r="D101" s="9" t="str">
        <f aca="false">INDEX(Lookups!$C$5:$C$75,MATCH($C101,Lookups!$A$5:$A$75,0))</f>
        <v>Latin America &amp; Caribbean</v>
      </c>
      <c r="E101" s="9" t="str">
        <f aca="false">INDEX(Lookups!$D$5:$D$75,MATCH($C101,Lookups!$A$5:$A$75,0))</f>
        <v>Caribbean &amp; Guianas</v>
      </c>
      <c r="F101" s="9" t="str">
        <f aca="false">IF($D101="Latin America &amp; Caribbean","Yes","No")</f>
        <v>Yes</v>
      </c>
      <c r="G101" s="9" t="str">
        <f aca="false">IF($C101="VEN","In-country record","Abroad")</f>
        <v>Abroad</v>
      </c>
      <c r="H101" s="24" t="n">
        <v>0</v>
      </c>
      <c r="I101" s="24" t="n">
        <v>0</v>
      </c>
      <c r="J101" s="24" t="n">
        <v>0</v>
      </c>
      <c r="K101" s="24" t="n">
        <v>0</v>
      </c>
      <c r="L101" s="24" t="n">
        <v>0</v>
      </c>
      <c r="M101" s="24" t="n">
        <v>0</v>
      </c>
      <c r="N101" s="24" t="n">
        <v>0</v>
      </c>
      <c r="O101" s="24" t="n">
        <v>0</v>
      </c>
      <c r="P101" s="24" t="n">
        <v>0</v>
      </c>
      <c r="Q101" s="24" t="n">
        <v>0</v>
      </c>
      <c r="R101" s="24" t="n">
        <v>0</v>
      </c>
      <c r="S101" s="24" t="n">
        <v>0</v>
      </c>
      <c r="T101" s="24" t="n">
        <v>0</v>
      </c>
      <c r="U101" s="24" t="n">
        <v>0</v>
      </c>
      <c r="V101" s="24" t="n">
        <v>67</v>
      </c>
      <c r="W101" s="24" t="n">
        <f aca="false">N101+U101</f>
        <v>0</v>
      </c>
      <c r="X101" s="32" t="n">
        <f aca="false">IF(V101&gt;0,W101/V101,0)</f>
        <v>0</v>
      </c>
      <c r="Y101" s="9"/>
    </row>
    <row r="102" customFormat="false" ht="15" hidden="false" customHeight="false" outlineLevel="0" collapsed="false">
      <c r="A102" s="25" t="n">
        <v>2021</v>
      </c>
      <c r="B102" s="9" t="s">
        <v>283</v>
      </c>
      <c r="C102" s="9" t="s">
        <v>221</v>
      </c>
      <c r="D102" s="9" t="str">
        <f aca="false">INDEX(Lookups!$C$5:$C$75,MATCH($C102,Lookups!$A$5:$A$75,0))</f>
        <v>Other regions</v>
      </c>
      <c r="E102" s="9" t="str">
        <f aca="false">INDEX(Lookups!$D$5:$D$75,MATCH($C102,Lookups!$A$5:$A$75,0))</f>
        <v>Rest of world</v>
      </c>
      <c r="F102" s="9" t="str">
        <f aca="false">IF($D102="Latin America &amp; Caribbean","Yes","No")</f>
        <v>No</v>
      </c>
      <c r="G102" s="9" t="str">
        <f aca="false">IF($C102="VEN","In-country record","Abroad")</f>
        <v>Abroad</v>
      </c>
      <c r="H102" s="24" t="n">
        <v>0</v>
      </c>
      <c r="I102" s="24" t="n">
        <v>0</v>
      </c>
      <c r="J102" s="24" t="n">
        <v>0</v>
      </c>
      <c r="K102" s="24" t="n">
        <v>0</v>
      </c>
      <c r="L102" s="24" t="n">
        <v>0</v>
      </c>
      <c r="M102" s="24" t="n">
        <v>0</v>
      </c>
      <c r="N102" s="24" t="n">
        <v>0</v>
      </c>
      <c r="O102" s="24" t="n">
        <v>0</v>
      </c>
      <c r="P102" s="24" t="n">
        <v>0</v>
      </c>
      <c r="Q102" s="24" t="n">
        <v>5</v>
      </c>
      <c r="R102" s="24" t="n">
        <v>0</v>
      </c>
      <c r="S102" s="24" t="n">
        <v>0</v>
      </c>
      <c r="T102" s="24" t="n">
        <v>0</v>
      </c>
      <c r="U102" s="24" t="n">
        <v>5</v>
      </c>
      <c r="V102" s="24" t="n">
        <v>5</v>
      </c>
      <c r="W102" s="24" t="n">
        <f aca="false">N102+U102</f>
        <v>5</v>
      </c>
      <c r="X102" s="32" t="n">
        <f aca="false">IF(V102&gt;0,W102/V102,0)</f>
        <v>1</v>
      </c>
      <c r="Y102" s="9"/>
    </row>
    <row r="103" customFormat="false" ht="15" hidden="false" customHeight="false" outlineLevel="0" collapsed="false">
      <c r="A103" s="25" t="n">
        <v>2021</v>
      </c>
      <c r="B103" s="9" t="s">
        <v>315</v>
      </c>
      <c r="C103" s="9" t="s">
        <v>222</v>
      </c>
      <c r="D103" s="9" t="str">
        <f aca="false">INDEX(Lookups!$C$5:$C$75,MATCH($C103,Lookups!$A$5:$A$75,0))</f>
        <v>Other regions</v>
      </c>
      <c r="E103" s="9" t="str">
        <f aca="false">INDEX(Lookups!$D$5:$D$75,MATCH($C103,Lookups!$A$5:$A$75,0))</f>
        <v>Rest of world</v>
      </c>
      <c r="F103" s="9" t="str">
        <f aca="false">IF($D103="Latin America &amp; Caribbean","Yes","No")</f>
        <v>No</v>
      </c>
      <c r="G103" s="9" t="str">
        <f aca="false">IF($C103="VEN","In-country record","Abroad")</f>
        <v>Abroad</v>
      </c>
      <c r="H103" s="24" t="n">
        <v>0</v>
      </c>
      <c r="I103" s="24" t="n">
        <v>5</v>
      </c>
      <c r="J103" s="24" t="n">
        <v>0</v>
      </c>
      <c r="K103" s="24" t="n">
        <v>0</v>
      </c>
      <c r="L103" s="24" t="n">
        <v>0</v>
      </c>
      <c r="M103" s="24" t="n">
        <v>0</v>
      </c>
      <c r="N103" s="24" t="n">
        <v>5</v>
      </c>
      <c r="O103" s="24" t="n">
        <v>0</v>
      </c>
      <c r="P103" s="24" t="n">
        <v>0</v>
      </c>
      <c r="Q103" s="24" t="n">
        <v>0</v>
      </c>
      <c r="R103" s="24" t="n">
        <v>0</v>
      </c>
      <c r="S103" s="24" t="n">
        <v>0</v>
      </c>
      <c r="T103" s="24" t="n">
        <v>0</v>
      </c>
      <c r="U103" s="24" t="n">
        <v>0</v>
      </c>
      <c r="V103" s="24" t="n">
        <v>5</v>
      </c>
      <c r="W103" s="24" t="n">
        <f aca="false">N103+U103</f>
        <v>5</v>
      </c>
      <c r="X103" s="32" t="n">
        <f aca="false">IF(V103&gt;0,W103/V103,0)</f>
        <v>1</v>
      </c>
      <c r="Y103" s="9"/>
    </row>
    <row r="104" customFormat="false" ht="15" hidden="false" customHeight="false" outlineLevel="0" collapsed="false">
      <c r="A104" s="25" t="n">
        <v>2021</v>
      </c>
      <c r="B104" s="9" t="s">
        <v>284</v>
      </c>
      <c r="C104" s="9" t="s">
        <v>223</v>
      </c>
      <c r="D104" s="9" t="str">
        <f aca="false">INDEX(Lookups!$C$5:$C$75,MATCH($C104,Lookups!$A$5:$A$75,0))</f>
        <v>Other regions</v>
      </c>
      <c r="E104" s="9" t="str">
        <f aca="false">INDEX(Lookups!$D$5:$D$75,MATCH($C104,Lookups!$A$5:$A$75,0))</f>
        <v>Rest of world</v>
      </c>
      <c r="F104" s="9" t="str">
        <f aca="false">IF($D104="Latin America &amp; Caribbean","Yes","No")</f>
        <v>No</v>
      </c>
      <c r="G104" s="9" t="str">
        <f aca="false">IF($C104="VEN","In-country record","Abroad")</f>
        <v>Abroad</v>
      </c>
      <c r="H104" s="24" t="n">
        <v>0</v>
      </c>
      <c r="I104" s="24" t="n">
        <v>5</v>
      </c>
      <c r="J104" s="24" t="n">
        <v>0</v>
      </c>
      <c r="K104" s="24" t="n">
        <v>0</v>
      </c>
      <c r="L104" s="24" t="n">
        <v>0</v>
      </c>
      <c r="M104" s="24" t="n">
        <v>0</v>
      </c>
      <c r="N104" s="24" t="n">
        <v>5</v>
      </c>
      <c r="O104" s="24" t="n">
        <v>0</v>
      </c>
      <c r="P104" s="24" t="n">
        <v>0</v>
      </c>
      <c r="Q104" s="24" t="n">
        <v>0</v>
      </c>
      <c r="R104" s="24" t="n">
        <v>0</v>
      </c>
      <c r="S104" s="24" t="n">
        <v>0</v>
      </c>
      <c r="T104" s="24" t="n">
        <v>0</v>
      </c>
      <c r="U104" s="24" t="n">
        <v>0</v>
      </c>
      <c r="V104" s="24" t="n">
        <v>5</v>
      </c>
      <c r="W104" s="24" t="n">
        <f aca="false">N104+U104</f>
        <v>5</v>
      </c>
      <c r="X104" s="32" t="n">
        <f aca="false">IF(V104&gt;0,W104/V104,0)</f>
        <v>1</v>
      </c>
      <c r="Y104" s="9"/>
    </row>
    <row r="105" customFormat="false" ht="15" hidden="false" customHeight="false" outlineLevel="0" collapsed="false">
      <c r="A105" s="25" t="n">
        <v>2021</v>
      </c>
      <c r="B105" s="9" t="s">
        <v>285</v>
      </c>
      <c r="C105" s="9" t="s">
        <v>186</v>
      </c>
      <c r="D105" s="9" t="str">
        <f aca="false">INDEX(Lookups!$C$5:$C$75,MATCH($C105,Lookups!$A$5:$A$75,0))</f>
        <v>Europe</v>
      </c>
      <c r="E105" s="9" t="str">
        <f aca="false">INDEX(Lookups!$D$5:$D$75,MATCH($C105,Lookups!$A$5:$A$75,0))</f>
        <v>Europe</v>
      </c>
      <c r="F105" s="9" t="str">
        <f aca="false">IF($D105="Latin America &amp; Caribbean","Yes","No")</f>
        <v>No</v>
      </c>
      <c r="G105" s="9" t="str">
        <f aca="false">IF($C105="VEN","In-country record","Abroad")</f>
        <v>Abroad</v>
      </c>
      <c r="H105" s="24" t="n">
        <v>0</v>
      </c>
      <c r="I105" s="24" t="n">
        <v>0</v>
      </c>
      <c r="J105" s="24" t="n">
        <v>0</v>
      </c>
      <c r="K105" s="24" t="n">
        <v>0</v>
      </c>
      <c r="L105" s="24" t="n">
        <v>0</v>
      </c>
      <c r="M105" s="24" t="n">
        <v>0</v>
      </c>
      <c r="N105" s="24" t="n">
        <v>0</v>
      </c>
      <c r="O105" s="24" t="n">
        <v>0</v>
      </c>
      <c r="P105" s="24" t="n">
        <v>0</v>
      </c>
      <c r="Q105" s="24" t="n">
        <v>0</v>
      </c>
      <c r="R105" s="24" t="n">
        <v>0</v>
      </c>
      <c r="S105" s="24" t="n">
        <v>0</v>
      </c>
      <c r="T105" s="24" t="n">
        <v>0</v>
      </c>
      <c r="U105" s="24" t="n">
        <v>0</v>
      </c>
      <c r="V105" s="24" t="n">
        <v>108</v>
      </c>
      <c r="W105" s="24" t="n">
        <f aca="false">N105+U105</f>
        <v>0</v>
      </c>
      <c r="X105" s="32" t="n">
        <f aca="false">IF(V105&gt;0,W105/V105,0)</f>
        <v>0</v>
      </c>
      <c r="Y105" s="9"/>
    </row>
    <row r="106" customFormat="false" ht="15" hidden="false" customHeight="false" outlineLevel="0" collapsed="false">
      <c r="A106" s="25" t="n">
        <v>2021</v>
      </c>
      <c r="B106" s="9" t="s">
        <v>286</v>
      </c>
      <c r="C106" s="9" t="s">
        <v>194</v>
      </c>
      <c r="D106" s="9" t="str">
        <f aca="false">INDEX(Lookups!$C$5:$C$75,MATCH($C106,Lookups!$A$5:$A$75,0))</f>
        <v>Europe</v>
      </c>
      <c r="E106" s="9" t="str">
        <f aca="false">INDEX(Lookups!$D$5:$D$75,MATCH($C106,Lookups!$A$5:$A$75,0))</f>
        <v>Europe</v>
      </c>
      <c r="F106" s="9" t="str">
        <f aca="false">IF($D106="Latin America &amp; Caribbean","Yes","No")</f>
        <v>No</v>
      </c>
      <c r="G106" s="9" t="str">
        <f aca="false">IF($C106="VEN","In-country record","Abroad")</f>
        <v>Abroad</v>
      </c>
      <c r="H106" s="24" t="n">
        <v>0</v>
      </c>
      <c r="I106" s="24" t="n">
        <v>0</v>
      </c>
      <c r="J106" s="24" t="n">
        <v>0</v>
      </c>
      <c r="K106" s="24" t="n">
        <v>0</v>
      </c>
      <c r="L106" s="24" t="n">
        <v>0</v>
      </c>
      <c r="M106" s="24" t="n">
        <v>0</v>
      </c>
      <c r="N106" s="24" t="n">
        <v>0</v>
      </c>
      <c r="O106" s="24" t="n">
        <v>0</v>
      </c>
      <c r="P106" s="24" t="n">
        <v>0</v>
      </c>
      <c r="Q106" s="24" t="n">
        <v>0</v>
      </c>
      <c r="R106" s="24" t="n">
        <v>0</v>
      </c>
      <c r="S106" s="24" t="n">
        <v>0</v>
      </c>
      <c r="T106" s="24" t="n">
        <v>0</v>
      </c>
      <c r="U106" s="24" t="n">
        <v>0</v>
      </c>
      <c r="V106" s="24" t="n">
        <v>82</v>
      </c>
      <c r="W106" s="24" t="n">
        <f aca="false">N106+U106</f>
        <v>0</v>
      </c>
      <c r="X106" s="32" t="n">
        <f aca="false">IF(V106&gt;0,W106/V106,0)</f>
        <v>0</v>
      </c>
      <c r="Y106" s="9"/>
    </row>
    <row r="107" customFormat="false" ht="15" hidden="false" customHeight="false" outlineLevel="0" collapsed="false">
      <c r="A107" s="25" t="n">
        <v>2021</v>
      </c>
      <c r="B107" s="9" t="s">
        <v>287</v>
      </c>
      <c r="C107" s="9" t="s">
        <v>163</v>
      </c>
      <c r="D107" s="9" t="str">
        <f aca="false">INDEX(Lookups!$C$5:$C$75,MATCH($C107,Lookups!$A$5:$A$75,0))</f>
        <v>Latin America &amp; Caribbean</v>
      </c>
      <c r="E107" s="9" t="str">
        <f aca="false">INDEX(Lookups!$D$5:$D$75,MATCH($C107,Lookups!$A$5:$A$75,0))</f>
        <v>Central America &amp; Mexico</v>
      </c>
      <c r="F107" s="9" t="str">
        <f aca="false">IF($D107="Latin America &amp; Caribbean","Yes","No")</f>
        <v>Yes</v>
      </c>
      <c r="G107" s="9" t="str">
        <f aca="false">IF($C107="VEN","In-country record","Abroad")</f>
        <v>Abroad</v>
      </c>
      <c r="H107" s="24" t="n">
        <v>347</v>
      </c>
      <c r="I107" s="24" t="n">
        <v>1110</v>
      </c>
      <c r="J107" s="24" t="n">
        <v>657</v>
      </c>
      <c r="K107" s="24" t="n">
        <v>9953</v>
      </c>
      <c r="L107" s="24" t="n">
        <v>880</v>
      </c>
      <c r="M107" s="24" t="n">
        <v>0</v>
      </c>
      <c r="N107" s="24" t="n">
        <v>12947</v>
      </c>
      <c r="O107" s="24" t="n">
        <v>393</v>
      </c>
      <c r="P107" s="24" t="n">
        <v>1058</v>
      </c>
      <c r="Q107" s="24" t="n">
        <v>774</v>
      </c>
      <c r="R107" s="24" t="n">
        <v>10143</v>
      </c>
      <c r="S107" s="24" t="n">
        <v>482</v>
      </c>
      <c r="T107" s="24" t="n">
        <v>0</v>
      </c>
      <c r="U107" s="24" t="n">
        <v>12850</v>
      </c>
      <c r="V107" s="24" t="n">
        <v>88976</v>
      </c>
      <c r="W107" s="24" t="n">
        <f aca="false">N107+U107</f>
        <v>25797</v>
      </c>
      <c r="X107" s="32" t="n">
        <f aca="false">IF(V107&gt;0,W107/V107,0)</f>
        <v>0.289932116525805</v>
      </c>
      <c r="Y107" s="9"/>
    </row>
    <row r="108" customFormat="false" ht="15" hidden="false" customHeight="false" outlineLevel="0" collapsed="false">
      <c r="A108" s="25" t="n">
        <v>2021</v>
      </c>
      <c r="B108" s="9" t="s">
        <v>288</v>
      </c>
      <c r="C108" s="9" t="s">
        <v>212</v>
      </c>
      <c r="D108" s="9" t="str">
        <f aca="false">INDEX(Lookups!$C$5:$C$75,MATCH($C108,Lookups!$A$5:$A$75,0))</f>
        <v>Europe</v>
      </c>
      <c r="E108" s="9" t="str">
        <f aca="false">INDEX(Lookups!$D$5:$D$75,MATCH($C108,Lookups!$A$5:$A$75,0))</f>
        <v>Europe</v>
      </c>
      <c r="F108" s="9" t="str">
        <f aca="false">IF($D108="Latin America &amp; Caribbean","Yes","No")</f>
        <v>No</v>
      </c>
      <c r="G108" s="9" t="str">
        <f aca="false">IF($C108="VEN","In-country record","Abroad")</f>
        <v>Abroad</v>
      </c>
      <c r="H108" s="24" t="n">
        <v>0</v>
      </c>
      <c r="I108" s="24" t="n">
        <v>5</v>
      </c>
      <c r="J108" s="24" t="n">
        <v>0</v>
      </c>
      <c r="K108" s="24" t="n">
        <v>0</v>
      </c>
      <c r="L108" s="24" t="n">
        <v>0</v>
      </c>
      <c r="M108" s="24" t="n">
        <v>0</v>
      </c>
      <c r="N108" s="24" t="n">
        <v>5</v>
      </c>
      <c r="O108" s="24" t="n">
        <v>0</v>
      </c>
      <c r="P108" s="24" t="n">
        <v>0</v>
      </c>
      <c r="Q108" s="24" t="n">
        <v>0</v>
      </c>
      <c r="R108" s="24" t="n">
        <v>0</v>
      </c>
      <c r="S108" s="24" t="n">
        <v>0</v>
      </c>
      <c r="T108" s="24" t="n">
        <v>0</v>
      </c>
      <c r="U108" s="24" t="n">
        <v>0</v>
      </c>
      <c r="V108" s="24" t="n">
        <v>5</v>
      </c>
      <c r="W108" s="24" t="n">
        <f aca="false">N108+U108</f>
        <v>5</v>
      </c>
      <c r="X108" s="32" t="n">
        <f aca="false">IF(V108&gt;0,W108/V108,0)</f>
        <v>1</v>
      </c>
      <c r="Y108" s="9"/>
    </row>
    <row r="109" customFormat="false" ht="15" hidden="false" customHeight="false" outlineLevel="0" collapsed="false">
      <c r="A109" s="25" t="n">
        <v>2021</v>
      </c>
      <c r="B109" s="9" t="s">
        <v>289</v>
      </c>
      <c r="C109" s="9" t="s">
        <v>182</v>
      </c>
      <c r="D109" s="9" t="str">
        <f aca="false">INDEX(Lookups!$C$5:$C$75,MATCH($C109,Lookups!$A$5:$A$75,0))</f>
        <v>Europe</v>
      </c>
      <c r="E109" s="9" t="str">
        <f aca="false">INDEX(Lookups!$D$5:$D$75,MATCH($C109,Lookups!$A$5:$A$75,0))</f>
        <v>Europe</v>
      </c>
      <c r="F109" s="9" t="str">
        <f aca="false">IF($D109="Latin America &amp; Caribbean","Yes","No")</f>
        <v>No</v>
      </c>
      <c r="G109" s="9" t="str">
        <f aca="false">IF($C109="VEN","In-country record","Abroad")</f>
        <v>Abroad</v>
      </c>
      <c r="H109" s="24" t="n">
        <v>0</v>
      </c>
      <c r="I109" s="24" t="n">
        <v>0</v>
      </c>
      <c r="J109" s="24" t="n">
        <v>0</v>
      </c>
      <c r="K109" s="24" t="n">
        <v>0</v>
      </c>
      <c r="L109" s="24" t="n">
        <v>0</v>
      </c>
      <c r="M109" s="24" t="n">
        <v>33</v>
      </c>
      <c r="N109" s="24" t="n">
        <v>33</v>
      </c>
      <c r="O109" s="24" t="n">
        <v>0</v>
      </c>
      <c r="P109" s="24" t="n">
        <v>0</v>
      </c>
      <c r="Q109" s="24" t="n">
        <v>0</v>
      </c>
      <c r="R109" s="24" t="n">
        <v>0</v>
      </c>
      <c r="S109" s="24" t="n">
        <v>0</v>
      </c>
      <c r="T109" s="24" t="n">
        <v>34</v>
      </c>
      <c r="U109" s="24" t="n">
        <v>34</v>
      </c>
      <c r="V109" s="24" t="n">
        <v>174</v>
      </c>
      <c r="W109" s="24" t="n">
        <f aca="false">N109+U109</f>
        <v>67</v>
      </c>
      <c r="X109" s="32" t="n">
        <f aca="false">IF(V109&gt;0,W109/V109,0)</f>
        <v>0.385057471264368</v>
      </c>
      <c r="Y109" s="9"/>
    </row>
    <row r="110" customFormat="false" ht="15" hidden="false" customHeight="false" outlineLevel="0" collapsed="false">
      <c r="A110" s="25" t="n">
        <v>2021</v>
      </c>
      <c r="B110" s="9" t="s">
        <v>316</v>
      </c>
      <c r="C110" s="9" t="s">
        <v>205</v>
      </c>
      <c r="D110" s="9" t="str">
        <f aca="false">INDEX(Lookups!$C$5:$C$75,MATCH($C110,Lookups!$A$5:$A$75,0))</f>
        <v>Other regions</v>
      </c>
      <c r="E110" s="9" t="str">
        <f aca="false">INDEX(Lookups!$D$5:$D$75,MATCH($C110,Lookups!$A$5:$A$75,0))</f>
        <v>Rest of world</v>
      </c>
      <c r="F110" s="9" t="str">
        <f aca="false">IF($D110="Latin America &amp; Caribbean","Yes","No")</f>
        <v>No</v>
      </c>
      <c r="G110" s="9" t="str">
        <f aca="false">IF($C110="VEN","In-country record","Abroad")</f>
        <v>Abroad</v>
      </c>
      <c r="H110" s="24" t="n">
        <v>0</v>
      </c>
      <c r="I110" s="24" t="n">
        <v>0</v>
      </c>
      <c r="J110" s="24" t="n">
        <v>0</v>
      </c>
      <c r="K110" s="24" t="n">
        <v>0</v>
      </c>
      <c r="L110" s="24" t="n">
        <v>0</v>
      </c>
      <c r="M110" s="24" t="n">
        <v>0</v>
      </c>
      <c r="N110" s="24" t="n">
        <v>0</v>
      </c>
      <c r="O110" s="24" t="n">
        <v>0</v>
      </c>
      <c r="P110" s="24" t="n">
        <v>0</v>
      </c>
      <c r="Q110" s="24" t="n">
        <v>0</v>
      </c>
      <c r="R110" s="24" t="n">
        <v>0</v>
      </c>
      <c r="S110" s="24" t="n">
        <v>0</v>
      </c>
      <c r="T110" s="24" t="n">
        <v>0</v>
      </c>
      <c r="U110" s="24" t="n">
        <v>0</v>
      </c>
      <c r="V110" s="24" t="n">
        <v>5</v>
      </c>
      <c r="W110" s="24" t="n">
        <f aca="false">N110+U110</f>
        <v>0</v>
      </c>
      <c r="X110" s="32" t="n">
        <f aca="false">IF(V110&gt;0,W110/V110,0)</f>
        <v>0</v>
      </c>
      <c r="Y110" s="9"/>
    </row>
    <row r="111" customFormat="false" ht="15" hidden="false" customHeight="false" outlineLevel="0" collapsed="false">
      <c r="A111" s="25" t="n">
        <v>2021</v>
      </c>
      <c r="B111" s="9" t="s">
        <v>290</v>
      </c>
      <c r="C111" s="9" t="s">
        <v>189</v>
      </c>
      <c r="D111" s="9" t="str">
        <f aca="false">INDEX(Lookups!$C$5:$C$75,MATCH($C111,Lookups!$A$5:$A$75,0))</f>
        <v>Europe</v>
      </c>
      <c r="E111" s="9" t="str">
        <f aca="false">INDEX(Lookups!$D$5:$D$75,MATCH($C111,Lookups!$A$5:$A$75,0))</f>
        <v>Europe</v>
      </c>
      <c r="F111" s="9" t="str">
        <f aca="false">IF($D111="Latin America &amp; Caribbean","Yes","No")</f>
        <v>No</v>
      </c>
      <c r="G111" s="9" t="str">
        <f aca="false">IF($C111="VEN","In-country record","Abroad")</f>
        <v>Abroad</v>
      </c>
      <c r="H111" s="24" t="n">
        <v>0</v>
      </c>
      <c r="I111" s="24" t="n">
        <v>0</v>
      </c>
      <c r="J111" s="24" t="n">
        <v>0</v>
      </c>
      <c r="K111" s="24" t="n">
        <v>0</v>
      </c>
      <c r="L111" s="24" t="n">
        <v>0</v>
      </c>
      <c r="M111" s="24" t="n">
        <v>10</v>
      </c>
      <c r="N111" s="24" t="n">
        <v>10</v>
      </c>
      <c r="O111" s="24" t="n">
        <v>0</v>
      </c>
      <c r="P111" s="24" t="n">
        <v>0</v>
      </c>
      <c r="Q111" s="24" t="n">
        <v>0</v>
      </c>
      <c r="R111" s="24" t="n">
        <v>0</v>
      </c>
      <c r="S111" s="24" t="n">
        <v>0</v>
      </c>
      <c r="T111" s="24" t="n">
        <v>12</v>
      </c>
      <c r="U111" s="24" t="n">
        <v>12</v>
      </c>
      <c r="V111" s="24" t="n">
        <v>41</v>
      </c>
      <c r="W111" s="24" t="n">
        <f aca="false">N111+U111</f>
        <v>22</v>
      </c>
      <c r="X111" s="32" t="n">
        <f aca="false">IF(V111&gt;0,W111/V111,0)</f>
        <v>0.536585365853659</v>
      </c>
      <c r="Y111" s="9"/>
    </row>
    <row r="112" customFormat="false" ht="15" hidden="false" customHeight="false" outlineLevel="0" collapsed="false">
      <c r="A112" s="25" t="n">
        <v>2021</v>
      </c>
      <c r="B112" s="9" t="s">
        <v>291</v>
      </c>
      <c r="C112" s="9" t="s">
        <v>165</v>
      </c>
      <c r="D112" s="9" t="str">
        <f aca="false">INDEX(Lookups!$C$5:$C$75,MATCH($C112,Lookups!$A$5:$A$75,0))</f>
        <v>Latin America &amp; Caribbean</v>
      </c>
      <c r="E112" s="9" t="str">
        <f aca="false">INDEX(Lookups!$D$5:$D$75,MATCH($C112,Lookups!$A$5:$A$75,0))</f>
        <v>Central America &amp; Mexico</v>
      </c>
      <c r="F112" s="9" t="str">
        <f aca="false">IF($D112="Latin America &amp; Caribbean","Yes","No")</f>
        <v>Yes</v>
      </c>
      <c r="G112" s="9" t="str">
        <f aca="false">IF($C112="VEN","In-country record","Abroad")</f>
        <v>Abroad</v>
      </c>
      <c r="H112" s="24" t="n">
        <v>0</v>
      </c>
      <c r="I112" s="24" t="n">
        <v>0</v>
      </c>
      <c r="J112" s="24" t="n">
        <v>0</v>
      </c>
      <c r="K112" s="24" t="n">
        <v>0</v>
      </c>
      <c r="L112" s="24" t="n">
        <v>0</v>
      </c>
      <c r="M112" s="24" t="n">
        <v>63232</v>
      </c>
      <c r="N112" s="24" t="n">
        <v>63232</v>
      </c>
      <c r="O112" s="24" t="n">
        <v>0</v>
      </c>
      <c r="P112" s="24" t="n">
        <v>0</v>
      </c>
      <c r="Q112" s="24" t="n">
        <v>0</v>
      </c>
      <c r="R112" s="24" t="n">
        <v>0</v>
      </c>
      <c r="S112" s="24" t="n">
        <v>0</v>
      </c>
      <c r="T112" s="24" t="n">
        <v>64768</v>
      </c>
      <c r="U112" s="24" t="n">
        <v>64768</v>
      </c>
      <c r="V112" s="24" t="n">
        <v>130514</v>
      </c>
      <c r="W112" s="24" t="n">
        <f aca="false">N112+U112</f>
        <v>128000</v>
      </c>
      <c r="X112" s="32" t="n">
        <f aca="false">IF(V112&gt;0,W112/V112,0)</f>
        <v>0.980737698637694</v>
      </c>
      <c r="Y112" s="9"/>
    </row>
    <row r="113" customFormat="false" ht="15" hidden="false" customHeight="false" outlineLevel="0" collapsed="false">
      <c r="A113" s="25" t="n">
        <v>2021</v>
      </c>
      <c r="B113" s="9" t="s">
        <v>292</v>
      </c>
      <c r="C113" s="9" t="s">
        <v>178</v>
      </c>
      <c r="D113" s="9" t="str">
        <f aca="false">INDEX(Lookups!$C$5:$C$75,MATCH($C113,Lookups!$A$5:$A$75,0))</f>
        <v>Latin America &amp; Caribbean</v>
      </c>
      <c r="E113" s="9" t="str">
        <f aca="false">INDEX(Lookups!$D$5:$D$75,MATCH($C113,Lookups!$A$5:$A$75,0))</f>
        <v>Southern Cone &amp; Brazil</v>
      </c>
      <c r="F113" s="9" t="str">
        <f aca="false">IF($D113="Latin America &amp; Caribbean","Yes","No")</f>
        <v>Yes</v>
      </c>
      <c r="G113" s="9" t="str">
        <f aca="false">IF($C113="VEN","In-country record","Abroad")</f>
        <v>Abroad</v>
      </c>
      <c r="H113" s="24" t="n">
        <v>84</v>
      </c>
      <c r="I113" s="24" t="n">
        <v>186</v>
      </c>
      <c r="J113" s="24" t="n">
        <v>129</v>
      </c>
      <c r="K113" s="24" t="n">
        <v>1203</v>
      </c>
      <c r="L113" s="24" t="n">
        <v>92</v>
      </c>
      <c r="M113" s="24" t="n">
        <v>862</v>
      </c>
      <c r="N113" s="24" t="n">
        <v>2556</v>
      </c>
      <c r="O113" s="24" t="n">
        <v>89</v>
      </c>
      <c r="P113" s="24" t="n">
        <v>209</v>
      </c>
      <c r="Q113" s="24" t="n">
        <v>127</v>
      </c>
      <c r="R113" s="24" t="n">
        <v>1676</v>
      </c>
      <c r="S113" s="24" t="n">
        <v>57</v>
      </c>
      <c r="T113" s="24" t="n">
        <v>1048</v>
      </c>
      <c r="U113" s="24" t="n">
        <v>3206</v>
      </c>
      <c r="V113" s="24" t="n">
        <v>5762</v>
      </c>
      <c r="W113" s="24" t="n">
        <f aca="false">N113+U113</f>
        <v>5762</v>
      </c>
      <c r="X113" s="32" t="n">
        <f aca="false">IF(V113&gt;0,W113/V113,0)</f>
        <v>1</v>
      </c>
      <c r="Y113" s="9"/>
    </row>
    <row r="114" customFormat="false" ht="15" hidden="false" customHeight="false" outlineLevel="0" collapsed="false">
      <c r="A114" s="25" t="n">
        <v>2021</v>
      </c>
      <c r="B114" s="9" t="s">
        <v>293</v>
      </c>
      <c r="C114" s="9" t="s">
        <v>156</v>
      </c>
      <c r="D114" s="9" t="str">
        <f aca="false">INDEX(Lookups!$C$5:$C$75,MATCH($C114,Lookups!$A$5:$A$75,0))</f>
        <v>Latin America &amp; Caribbean</v>
      </c>
      <c r="E114" s="9" t="str">
        <f aca="false">INDEX(Lookups!$D$5:$D$75,MATCH($C114,Lookups!$A$5:$A$75,0))</f>
        <v>Andean region</v>
      </c>
      <c r="F114" s="9" t="str">
        <f aca="false">IF($D114="Latin America &amp; Caribbean","Yes","No")</f>
        <v>Yes</v>
      </c>
      <c r="G114" s="9" t="str">
        <f aca="false">IF($C114="VEN","In-country record","Abroad")</f>
        <v>Abroad</v>
      </c>
      <c r="H114" s="24" t="n">
        <v>5223</v>
      </c>
      <c r="I114" s="24" t="n">
        <v>15257</v>
      </c>
      <c r="J114" s="24" t="n">
        <v>7682</v>
      </c>
      <c r="K114" s="24" t="n">
        <v>200550</v>
      </c>
      <c r="L114" s="24" t="n">
        <v>5340</v>
      </c>
      <c r="M114" s="24" t="n">
        <v>0</v>
      </c>
      <c r="N114" s="24" t="n">
        <v>234052</v>
      </c>
      <c r="O114" s="24" t="n">
        <v>5510</v>
      </c>
      <c r="P114" s="24" t="n">
        <v>15739</v>
      </c>
      <c r="Q114" s="24" t="n">
        <v>8228</v>
      </c>
      <c r="R114" s="24" t="n">
        <v>268810</v>
      </c>
      <c r="S114" s="24" t="n">
        <v>3581</v>
      </c>
      <c r="T114" s="24" t="n">
        <v>0</v>
      </c>
      <c r="U114" s="24" t="n">
        <v>301868</v>
      </c>
      <c r="V114" s="24" t="n">
        <v>1327362</v>
      </c>
      <c r="W114" s="24" t="n">
        <f aca="false">N114+U114</f>
        <v>535920</v>
      </c>
      <c r="X114" s="32" t="n">
        <f aca="false">IF(V114&gt;0,W114/V114,0)</f>
        <v>0.40374818625213</v>
      </c>
      <c r="Y114" s="9"/>
    </row>
    <row r="115" customFormat="false" ht="15" hidden="false" customHeight="false" outlineLevel="0" collapsed="false">
      <c r="A115" s="25" t="n">
        <v>2021</v>
      </c>
      <c r="B115" s="9" t="s">
        <v>294</v>
      </c>
      <c r="C115" s="9" t="s">
        <v>196</v>
      </c>
      <c r="D115" s="9" t="str">
        <f aca="false">INDEX(Lookups!$C$5:$C$75,MATCH($C115,Lookups!$A$5:$A$75,0))</f>
        <v>Europe</v>
      </c>
      <c r="E115" s="9" t="str">
        <f aca="false">INDEX(Lookups!$D$5:$D$75,MATCH($C115,Lookups!$A$5:$A$75,0))</f>
        <v>Europe</v>
      </c>
      <c r="F115" s="9" t="str">
        <f aca="false">IF($D115="Latin America &amp; Caribbean","Yes","No")</f>
        <v>No</v>
      </c>
      <c r="G115" s="9" t="str">
        <f aca="false">IF($C115="VEN","In-country record","Abroad")</f>
        <v>Abroad</v>
      </c>
      <c r="H115" s="24" t="n">
        <v>0</v>
      </c>
      <c r="I115" s="24" t="n">
        <v>0</v>
      </c>
      <c r="J115" s="24" t="n">
        <v>0</v>
      </c>
      <c r="K115" s="24" t="n">
        <v>0</v>
      </c>
      <c r="L115" s="24" t="n">
        <v>0</v>
      </c>
      <c r="M115" s="24" t="n">
        <v>0</v>
      </c>
      <c r="N115" s="24" t="n">
        <v>0</v>
      </c>
      <c r="O115" s="24" t="n">
        <v>0</v>
      </c>
      <c r="P115" s="24" t="n">
        <v>0</v>
      </c>
      <c r="Q115" s="24" t="n">
        <v>0</v>
      </c>
      <c r="R115" s="24" t="n">
        <v>0</v>
      </c>
      <c r="S115" s="24" t="n">
        <v>0</v>
      </c>
      <c r="T115" s="24" t="n">
        <v>0</v>
      </c>
      <c r="U115" s="24" t="n">
        <v>0</v>
      </c>
      <c r="V115" s="24" t="n">
        <v>17</v>
      </c>
      <c r="W115" s="24" t="n">
        <f aca="false">N115+U115</f>
        <v>0</v>
      </c>
      <c r="X115" s="32" t="n">
        <f aca="false">IF(V115&gt;0,W115/V115,0)</f>
        <v>0</v>
      </c>
      <c r="Y115" s="9"/>
    </row>
    <row r="116" customFormat="false" ht="15" hidden="false" customHeight="false" outlineLevel="0" collapsed="false">
      <c r="A116" s="25" t="n">
        <v>2021</v>
      </c>
      <c r="B116" s="9" t="s">
        <v>295</v>
      </c>
      <c r="C116" s="9" t="s">
        <v>185</v>
      </c>
      <c r="D116" s="9" t="str">
        <f aca="false">INDEX(Lookups!$C$5:$C$75,MATCH($C116,Lookups!$A$5:$A$75,0))</f>
        <v>Europe</v>
      </c>
      <c r="E116" s="9" t="str">
        <f aca="false">INDEX(Lookups!$D$5:$D$75,MATCH($C116,Lookups!$A$5:$A$75,0))</f>
        <v>Europe</v>
      </c>
      <c r="F116" s="9" t="str">
        <f aca="false">IF($D116="Latin America &amp; Caribbean","Yes","No")</f>
        <v>No</v>
      </c>
      <c r="G116" s="9" t="str">
        <f aca="false">IF($C116="VEN","In-country record","Abroad")</f>
        <v>Abroad</v>
      </c>
      <c r="H116" s="24" t="n">
        <v>0</v>
      </c>
      <c r="I116" s="24" t="n">
        <v>0</v>
      </c>
      <c r="J116" s="24" t="n">
        <v>0</v>
      </c>
      <c r="K116" s="24" t="n">
        <v>0</v>
      </c>
      <c r="L116" s="24" t="n">
        <v>0</v>
      </c>
      <c r="M116" s="24" t="n">
        <v>0</v>
      </c>
      <c r="N116" s="24" t="n">
        <v>0</v>
      </c>
      <c r="O116" s="24" t="n">
        <v>0</v>
      </c>
      <c r="P116" s="24" t="n">
        <v>0</v>
      </c>
      <c r="Q116" s="24" t="n">
        <v>0</v>
      </c>
      <c r="R116" s="24" t="n">
        <v>0</v>
      </c>
      <c r="S116" s="24" t="n">
        <v>0</v>
      </c>
      <c r="T116" s="24" t="n">
        <v>0</v>
      </c>
      <c r="U116" s="24" t="n">
        <v>0</v>
      </c>
      <c r="V116" s="24" t="n">
        <v>76</v>
      </c>
      <c r="W116" s="24" t="n">
        <f aca="false">N116+U116</f>
        <v>0</v>
      </c>
      <c r="X116" s="32" t="n">
        <f aca="false">IF(V116&gt;0,W116/V116,0)</f>
        <v>0</v>
      </c>
      <c r="Y116" s="9"/>
    </row>
    <row r="117" customFormat="false" ht="15" hidden="false" customHeight="false" outlineLevel="0" collapsed="false">
      <c r="A117" s="25" t="n">
        <v>2021</v>
      </c>
      <c r="B117" s="9" t="s">
        <v>296</v>
      </c>
      <c r="C117" s="9" t="s">
        <v>216</v>
      </c>
      <c r="D117" s="9" t="str">
        <f aca="false">INDEX(Lookups!$C$5:$C$75,MATCH($C117,Lookups!$A$5:$A$75,0))</f>
        <v>Latin America &amp; Caribbean</v>
      </c>
      <c r="E117" s="9" t="str">
        <f aca="false">INDEX(Lookups!$D$5:$D$75,MATCH($C117,Lookups!$A$5:$A$75,0))</f>
        <v>Caribbean &amp; Guianas</v>
      </c>
      <c r="F117" s="9" t="str">
        <f aca="false">IF($D117="Latin America &amp; Caribbean","Yes","No")</f>
        <v>Yes</v>
      </c>
      <c r="G117" s="9" t="str">
        <f aca="false">IF($C117="VEN","In-country record","Abroad")</f>
        <v>Abroad</v>
      </c>
      <c r="H117" s="24" t="n">
        <v>0</v>
      </c>
      <c r="I117" s="24" t="n">
        <v>0</v>
      </c>
      <c r="J117" s="24" t="n">
        <v>0</v>
      </c>
      <c r="K117" s="24" t="n">
        <v>0</v>
      </c>
      <c r="L117" s="24" t="n">
        <v>0</v>
      </c>
      <c r="M117" s="24" t="n">
        <v>0</v>
      </c>
      <c r="N117" s="24" t="n">
        <v>0</v>
      </c>
      <c r="O117" s="24" t="n">
        <v>0</v>
      </c>
      <c r="P117" s="24" t="n">
        <v>0</v>
      </c>
      <c r="Q117" s="24" t="n">
        <v>0</v>
      </c>
      <c r="R117" s="24" t="n">
        <v>0</v>
      </c>
      <c r="S117" s="24" t="n">
        <v>0</v>
      </c>
      <c r="T117" s="24" t="n">
        <v>0</v>
      </c>
      <c r="U117" s="24" t="n">
        <v>0</v>
      </c>
      <c r="V117" s="24" t="n">
        <v>60</v>
      </c>
      <c r="W117" s="24" t="n">
        <f aca="false">N117+U117</f>
        <v>0</v>
      </c>
      <c r="X117" s="32" t="n">
        <f aca="false">IF(V117&gt;0,W117/V117,0)</f>
        <v>0</v>
      </c>
      <c r="Y117" s="9"/>
    </row>
    <row r="118" customFormat="false" ht="15" hidden="false" customHeight="false" outlineLevel="0" collapsed="false">
      <c r="A118" s="25" t="n">
        <v>2021</v>
      </c>
      <c r="B118" s="9" t="s">
        <v>297</v>
      </c>
      <c r="C118" s="9" t="s">
        <v>215</v>
      </c>
      <c r="D118" s="9" t="str">
        <f aca="false">INDEX(Lookups!$C$5:$C$75,MATCH($C118,Lookups!$A$5:$A$75,0))</f>
        <v>Latin America &amp; Caribbean</v>
      </c>
      <c r="E118" s="9" t="str">
        <f aca="false">INDEX(Lookups!$D$5:$D$75,MATCH($C118,Lookups!$A$5:$A$75,0))</f>
        <v>Caribbean &amp; Guianas</v>
      </c>
      <c r="F118" s="9" t="str">
        <f aca="false">IF($D118="Latin America &amp; Caribbean","Yes","No")</f>
        <v>Yes</v>
      </c>
      <c r="G118" s="9" t="str">
        <f aca="false">IF($C118="VEN","In-country record","Abroad")</f>
        <v>Abroad</v>
      </c>
      <c r="H118" s="24" t="n">
        <v>0</v>
      </c>
      <c r="I118" s="24" t="n">
        <v>0</v>
      </c>
      <c r="J118" s="24" t="n">
        <v>0</v>
      </c>
      <c r="K118" s="24" t="n">
        <v>0</v>
      </c>
      <c r="L118" s="24" t="n">
        <v>0</v>
      </c>
      <c r="M118" s="24" t="n">
        <v>0</v>
      </c>
      <c r="N118" s="24" t="n">
        <v>0</v>
      </c>
      <c r="O118" s="24" t="n">
        <v>0</v>
      </c>
      <c r="P118" s="24" t="n">
        <v>0</v>
      </c>
      <c r="Q118" s="24" t="n">
        <v>0</v>
      </c>
      <c r="R118" s="24" t="n">
        <v>0</v>
      </c>
      <c r="S118" s="24" t="n">
        <v>0</v>
      </c>
      <c r="T118" s="24" t="n">
        <v>0</v>
      </c>
      <c r="U118" s="24" t="n">
        <v>0</v>
      </c>
      <c r="V118" s="24" t="n">
        <v>5</v>
      </c>
      <c r="W118" s="24" t="n">
        <f aca="false">N118+U118</f>
        <v>0</v>
      </c>
      <c r="X118" s="32" t="n">
        <f aca="false">IF(V118&gt;0,W118/V118,0)</f>
        <v>0</v>
      </c>
      <c r="Y118" s="9"/>
    </row>
    <row r="119" customFormat="false" ht="15" hidden="false" customHeight="false" outlineLevel="0" collapsed="false">
      <c r="A119" s="25" t="n">
        <v>2021</v>
      </c>
      <c r="B119" s="9" t="s">
        <v>298</v>
      </c>
      <c r="C119" s="9" t="s">
        <v>191</v>
      </c>
      <c r="D119" s="9" t="str">
        <f aca="false">INDEX(Lookups!$C$5:$C$75,MATCH($C119,Lookups!$A$5:$A$75,0))</f>
        <v>Latin America &amp; Caribbean</v>
      </c>
      <c r="E119" s="9" t="str">
        <f aca="false">INDEX(Lookups!$D$5:$D$75,MATCH($C119,Lookups!$A$5:$A$75,0))</f>
        <v>Caribbean &amp; Guianas</v>
      </c>
      <c r="F119" s="9" t="str">
        <f aca="false">IF($D119="Latin America &amp; Caribbean","Yes","No")</f>
        <v>Yes</v>
      </c>
      <c r="G119" s="9" t="str">
        <f aca="false">IF($C119="VEN","In-country record","Abroad")</f>
        <v>Abroad</v>
      </c>
      <c r="H119" s="24" t="n">
        <v>5</v>
      </c>
      <c r="I119" s="24" t="n">
        <v>0</v>
      </c>
      <c r="J119" s="24" t="n">
        <v>0</v>
      </c>
      <c r="K119" s="24" t="n">
        <v>12</v>
      </c>
      <c r="L119" s="24" t="n">
        <v>0</v>
      </c>
      <c r="M119" s="24" t="n">
        <v>0</v>
      </c>
      <c r="N119" s="24" t="n">
        <v>17</v>
      </c>
      <c r="O119" s="24" t="n">
        <v>0</v>
      </c>
      <c r="P119" s="24" t="n">
        <v>5</v>
      </c>
      <c r="Q119" s="24" t="n">
        <v>0</v>
      </c>
      <c r="R119" s="24" t="n">
        <v>19</v>
      </c>
      <c r="S119" s="24" t="n">
        <v>0</v>
      </c>
      <c r="T119" s="24" t="n">
        <v>0</v>
      </c>
      <c r="U119" s="24" t="n">
        <v>24</v>
      </c>
      <c r="V119" s="24" t="n">
        <v>41</v>
      </c>
      <c r="W119" s="24" t="n">
        <f aca="false">N119+U119</f>
        <v>41</v>
      </c>
      <c r="X119" s="32" t="n">
        <f aca="false">IF(V119&gt;0,W119/V119,0)</f>
        <v>1</v>
      </c>
      <c r="Y119" s="9"/>
    </row>
    <row r="120" customFormat="false" ht="15" hidden="false" customHeight="false" outlineLevel="0" collapsed="false">
      <c r="A120" s="25" t="n">
        <v>2021</v>
      </c>
      <c r="B120" s="9" t="s">
        <v>299</v>
      </c>
      <c r="C120" s="9" t="s">
        <v>224</v>
      </c>
      <c r="D120" s="9" t="str">
        <f aca="false">INDEX(Lookups!$C$5:$C$75,MATCH($C120,Lookups!$A$5:$A$75,0))</f>
        <v>Other regions</v>
      </c>
      <c r="E120" s="9" t="str">
        <f aca="false">INDEX(Lookups!$D$5:$D$75,MATCH($C120,Lookups!$A$5:$A$75,0))</f>
        <v>Rest of world</v>
      </c>
      <c r="F120" s="9" t="str">
        <f aca="false">IF($D120="Latin America &amp; Caribbean","Yes","No")</f>
        <v>No</v>
      </c>
      <c r="G120" s="9" t="str">
        <f aca="false">IF($C120="VEN","In-country record","Abroad")</f>
        <v>Abroad</v>
      </c>
      <c r="H120" s="24" t="n">
        <v>0</v>
      </c>
      <c r="I120" s="24" t="n">
        <v>0</v>
      </c>
      <c r="J120" s="24" t="n">
        <v>0</v>
      </c>
      <c r="K120" s="24" t="n">
        <v>0</v>
      </c>
      <c r="L120" s="24" t="n">
        <v>0</v>
      </c>
      <c r="M120" s="24" t="n">
        <v>0</v>
      </c>
      <c r="N120" s="24" t="n">
        <v>0</v>
      </c>
      <c r="O120" s="24" t="n">
        <v>0</v>
      </c>
      <c r="P120" s="24" t="n">
        <v>0</v>
      </c>
      <c r="Q120" s="24" t="n">
        <v>0</v>
      </c>
      <c r="R120" s="24" t="n">
        <v>0</v>
      </c>
      <c r="S120" s="24" t="n">
        <v>0</v>
      </c>
      <c r="T120" s="24" t="n">
        <v>0</v>
      </c>
      <c r="U120" s="24" t="n">
        <v>0</v>
      </c>
      <c r="V120" s="24" t="n">
        <v>12</v>
      </c>
      <c r="W120" s="24" t="n">
        <f aca="false">N120+U120</f>
        <v>0</v>
      </c>
      <c r="X120" s="32" t="n">
        <f aca="false">IF(V120&gt;0,W120/V120,0)</f>
        <v>0</v>
      </c>
      <c r="Y120" s="9"/>
    </row>
    <row r="121" customFormat="false" ht="15" hidden="false" customHeight="false" outlineLevel="0" collapsed="false">
      <c r="A121" s="25" t="n">
        <v>2021</v>
      </c>
      <c r="B121" s="9" t="s">
        <v>300</v>
      </c>
      <c r="C121" s="9" t="s">
        <v>161</v>
      </c>
      <c r="D121" s="9" t="str">
        <f aca="false">INDEX(Lookups!$C$5:$C$75,MATCH($C121,Lookups!$A$5:$A$75,0))</f>
        <v>Europe</v>
      </c>
      <c r="E121" s="9" t="str">
        <f aca="false">INDEX(Lookups!$D$5:$D$75,MATCH($C121,Lookups!$A$5:$A$75,0))</f>
        <v>Europe</v>
      </c>
      <c r="F121" s="9" t="str">
        <f aca="false">IF($D121="Latin America &amp; Caribbean","Yes","No")</f>
        <v>No</v>
      </c>
      <c r="G121" s="9" t="str">
        <f aca="false">IF($C121="VEN","In-country record","Abroad")</f>
        <v>Abroad</v>
      </c>
      <c r="H121" s="24" t="n">
        <v>0</v>
      </c>
      <c r="I121" s="24" t="n">
        <v>0</v>
      </c>
      <c r="J121" s="24" t="n">
        <v>0</v>
      </c>
      <c r="K121" s="24" t="n">
        <v>0</v>
      </c>
      <c r="L121" s="24" t="n">
        <v>0</v>
      </c>
      <c r="M121" s="24" t="n">
        <v>0</v>
      </c>
      <c r="N121" s="24" t="n">
        <v>0</v>
      </c>
      <c r="O121" s="24" t="n">
        <v>0</v>
      </c>
      <c r="P121" s="24" t="n">
        <v>0</v>
      </c>
      <c r="Q121" s="24" t="n">
        <v>0</v>
      </c>
      <c r="R121" s="24" t="n">
        <v>0</v>
      </c>
      <c r="S121" s="24" t="n">
        <v>0</v>
      </c>
      <c r="T121" s="24" t="n">
        <v>0</v>
      </c>
      <c r="U121" s="24" t="n">
        <v>0</v>
      </c>
      <c r="V121" s="24" t="n">
        <v>107697</v>
      </c>
      <c r="W121" s="24" t="n">
        <f aca="false">N121+U121</f>
        <v>0</v>
      </c>
      <c r="X121" s="32" t="n">
        <f aca="false">IF(V121&gt;0,W121/V121,0)</f>
        <v>0</v>
      </c>
      <c r="Y121" s="9" t="s">
        <v>301</v>
      </c>
    </row>
    <row r="122" customFormat="false" ht="15" hidden="false" customHeight="false" outlineLevel="0" collapsed="false">
      <c r="A122" s="25" t="n">
        <v>2021</v>
      </c>
      <c r="B122" s="9" t="s">
        <v>302</v>
      </c>
      <c r="C122" s="9" t="s">
        <v>183</v>
      </c>
      <c r="D122" s="9" t="str">
        <f aca="false">INDEX(Lookups!$C$5:$C$75,MATCH($C122,Lookups!$A$5:$A$75,0))</f>
        <v>Latin America &amp; Caribbean</v>
      </c>
      <c r="E122" s="9" t="str">
        <f aca="false">INDEX(Lookups!$D$5:$D$75,MATCH($C122,Lookups!$A$5:$A$75,0))</f>
        <v>Caribbean &amp; Guianas</v>
      </c>
      <c r="F122" s="9" t="str">
        <f aca="false">IF($D122="Latin America &amp; Caribbean","Yes","No")</f>
        <v>Yes</v>
      </c>
      <c r="G122" s="9" t="str">
        <f aca="false">IF($C122="VEN","In-country record","Abroad")</f>
        <v>Abroad</v>
      </c>
      <c r="H122" s="24" t="n">
        <v>6</v>
      </c>
      <c r="I122" s="24" t="n">
        <v>11</v>
      </c>
      <c r="J122" s="24" t="n">
        <v>7</v>
      </c>
      <c r="K122" s="24" t="n">
        <v>229</v>
      </c>
      <c r="L122" s="24" t="n">
        <v>0</v>
      </c>
      <c r="M122" s="24" t="n">
        <v>0</v>
      </c>
      <c r="N122" s="24" t="n">
        <v>253</v>
      </c>
      <c r="O122" s="24" t="n">
        <v>8</v>
      </c>
      <c r="P122" s="24" t="n">
        <v>17</v>
      </c>
      <c r="Q122" s="24" t="n">
        <v>11</v>
      </c>
      <c r="R122" s="24" t="n">
        <v>54</v>
      </c>
      <c r="S122" s="24" t="n">
        <v>0</v>
      </c>
      <c r="T122" s="24" t="n">
        <v>0</v>
      </c>
      <c r="U122" s="24" t="n">
        <v>90</v>
      </c>
      <c r="V122" s="24" t="n">
        <v>343</v>
      </c>
      <c r="W122" s="24" t="n">
        <f aca="false">N122+U122</f>
        <v>343</v>
      </c>
      <c r="X122" s="32" t="n">
        <f aca="false">IF(V122&gt;0,W122/V122,0)</f>
        <v>1</v>
      </c>
      <c r="Y122" s="9"/>
    </row>
    <row r="123" customFormat="false" ht="15" hidden="false" customHeight="false" outlineLevel="0" collapsed="false">
      <c r="A123" s="25" t="n">
        <v>2021</v>
      </c>
      <c r="B123" s="9" t="s">
        <v>303</v>
      </c>
      <c r="C123" s="9" t="s">
        <v>193</v>
      </c>
      <c r="D123" s="9" t="str">
        <f aca="false">INDEX(Lookups!$C$5:$C$75,MATCH($C123,Lookups!$A$5:$A$75,0))</f>
        <v>Europe</v>
      </c>
      <c r="E123" s="9" t="str">
        <f aca="false">INDEX(Lookups!$D$5:$D$75,MATCH($C123,Lookups!$A$5:$A$75,0))</f>
        <v>Europe</v>
      </c>
      <c r="F123" s="9" t="str">
        <f aca="false">IF($D123="Latin America &amp; Caribbean","Yes","No")</f>
        <v>No</v>
      </c>
      <c r="G123" s="9" t="str">
        <f aca="false">IF($C123="VEN","In-country record","Abroad")</f>
        <v>Abroad</v>
      </c>
      <c r="H123" s="24" t="n">
        <v>0</v>
      </c>
      <c r="I123" s="24" t="n">
        <v>0</v>
      </c>
      <c r="J123" s="24" t="n">
        <v>0</v>
      </c>
      <c r="K123" s="24" t="n">
        <v>0</v>
      </c>
      <c r="L123" s="24" t="n">
        <v>0</v>
      </c>
      <c r="M123" s="24" t="n">
        <v>20</v>
      </c>
      <c r="N123" s="24" t="n">
        <v>20</v>
      </c>
      <c r="O123" s="24" t="n">
        <v>0</v>
      </c>
      <c r="P123" s="24" t="n">
        <v>0</v>
      </c>
      <c r="Q123" s="24" t="n">
        <v>0</v>
      </c>
      <c r="R123" s="24" t="n">
        <v>0</v>
      </c>
      <c r="S123" s="24" t="n">
        <v>0</v>
      </c>
      <c r="T123" s="24" t="n">
        <v>21</v>
      </c>
      <c r="U123" s="24" t="n">
        <v>21</v>
      </c>
      <c r="V123" s="24" t="n">
        <v>82</v>
      </c>
      <c r="W123" s="24" t="n">
        <f aca="false">N123+U123</f>
        <v>41</v>
      </c>
      <c r="X123" s="32" t="n">
        <f aca="false">IF(V123&gt;0,W123/V123,0)</f>
        <v>0.5</v>
      </c>
      <c r="Y123" s="9"/>
    </row>
    <row r="124" customFormat="false" ht="15" hidden="false" customHeight="false" outlineLevel="0" collapsed="false">
      <c r="A124" s="25" t="n">
        <v>2021</v>
      </c>
      <c r="B124" s="9" t="s">
        <v>304</v>
      </c>
      <c r="C124" s="9" t="s">
        <v>188</v>
      </c>
      <c r="D124" s="9" t="str">
        <f aca="false">INDEX(Lookups!$C$5:$C$75,MATCH($C124,Lookups!$A$5:$A$75,0))</f>
        <v>Europe</v>
      </c>
      <c r="E124" s="9" t="str">
        <f aca="false">INDEX(Lookups!$D$5:$D$75,MATCH($C124,Lookups!$A$5:$A$75,0))</f>
        <v>Europe</v>
      </c>
      <c r="F124" s="9" t="str">
        <f aca="false">IF($D124="Latin America &amp; Caribbean","Yes","No")</f>
        <v>No</v>
      </c>
      <c r="G124" s="9" t="str">
        <f aca="false">IF($C124="VEN","In-country record","Abroad")</f>
        <v>Abroad</v>
      </c>
      <c r="H124" s="24" t="n">
        <v>0</v>
      </c>
      <c r="I124" s="24" t="n">
        <v>0</v>
      </c>
      <c r="J124" s="24" t="n">
        <v>0</v>
      </c>
      <c r="K124" s="24" t="n">
        <v>20</v>
      </c>
      <c r="L124" s="24" t="n">
        <v>10</v>
      </c>
      <c r="M124" s="24" t="n">
        <v>0</v>
      </c>
      <c r="N124" s="24" t="n">
        <v>30</v>
      </c>
      <c r="O124" s="24" t="n">
        <v>0</v>
      </c>
      <c r="P124" s="24" t="n">
        <v>6</v>
      </c>
      <c r="Q124" s="24" t="n">
        <v>0</v>
      </c>
      <c r="R124" s="24" t="n">
        <v>38</v>
      </c>
      <c r="S124" s="24" t="n">
        <v>0</v>
      </c>
      <c r="T124" s="24" t="n">
        <v>0</v>
      </c>
      <c r="U124" s="24" t="n">
        <v>44</v>
      </c>
      <c r="V124" s="24" t="n">
        <v>98</v>
      </c>
      <c r="W124" s="24" t="n">
        <f aca="false">N124+U124</f>
        <v>74</v>
      </c>
      <c r="X124" s="32" t="n">
        <f aca="false">IF(V124&gt;0,W124/V124,0)</f>
        <v>0.755102040816327</v>
      </c>
      <c r="Y124" s="9"/>
    </row>
    <row r="125" customFormat="false" ht="15" hidden="false" customHeight="false" outlineLevel="0" collapsed="false">
      <c r="A125" s="25" t="n">
        <v>2021</v>
      </c>
      <c r="B125" s="9" t="s">
        <v>305</v>
      </c>
      <c r="C125" s="9" t="s">
        <v>167</v>
      </c>
      <c r="D125" s="9" t="str">
        <f aca="false">INDEX(Lookups!$C$5:$C$75,MATCH($C125,Lookups!$A$5:$A$75,0))</f>
        <v>Latin America &amp; Caribbean</v>
      </c>
      <c r="E125" s="9" t="str">
        <f aca="false">INDEX(Lookups!$D$5:$D$75,MATCH($C125,Lookups!$A$5:$A$75,0))</f>
        <v>Caribbean &amp; Guianas</v>
      </c>
      <c r="F125" s="9" t="str">
        <f aca="false">IF($D125="Latin America &amp; Caribbean","Yes","No")</f>
        <v>Yes</v>
      </c>
      <c r="G125" s="9" t="str">
        <f aca="false">IF($C125="VEN","In-country record","Abroad")</f>
        <v>Abroad</v>
      </c>
      <c r="H125" s="24" t="n">
        <v>0</v>
      </c>
      <c r="I125" s="24" t="n">
        <v>0</v>
      </c>
      <c r="J125" s="24" t="n">
        <v>0</v>
      </c>
      <c r="K125" s="24" t="n">
        <v>0</v>
      </c>
      <c r="L125" s="24" t="n">
        <v>0</v>
      </c>
      <c r="M125" s="24" t="n">
        <v>4538</v>
      </c>
      <c r="N125" s="24" t="n">
        <v>4538</v>
      </c>
      <c r="O125" s="24" t="n">
        <v>0</v>
      </c>
      <c r="P125" s="24" t="n">
        <v>0</v>
      </c>
      <c r="Q125" s="24" t="n">
        <v>0</v>
      </c>
      <c r="R125" s="24" t="n">
        <v>0</v>
      </c>
      <c r="S125" s="24" t="n">
        <v>0</v>
      </c>
      <c r="T125" s="24" t="n">
        <v>3865</v>
      </c>
      <c r="U125" s="24" t="n">
        <v>3865</v>
      </c>
      <c r="V125" s="24" t="n">
        <v>29946</v>
      </c>
      <c r="W125" s="24" t="n">
        <f aca="false">N125+U125</f>
        <v>8403</v>
      </c>
      <c r="X125" s="32" t="n">
        <f aca="false">IF(V125&gt;0,W125/V125,0)</f>
        <v>0.280605089160489</v>
      </c>
      <c r="Y125" s="9"/>
    </row>
    <row r="126" customFormat="false" ht="15" hidden="false" customHeight="false" outlineLevel="0" collapsed="false">
      <c r="A126" s="25" t="n">
        <v>2021</v>
      </c>
      <c r="B126" s="9" t="s">
        <v>306</v>
      </c>
      <c r="C126" s="9" t="s">
        <v>192</v>
      </c>
      <c r="D126" s="9" t="str">
        <f aca="false">INDEX(Lookups!$C$5:$C$75,MATCH($C126,Lookups!$A$5:$A$75,0))</f>
        <v>Europe</v>
      </c>
      <c r="E126" s="9" t="str">
        <f aca="false">INDEX(Lookups!$D$5:$D$75,MATCH($C126,Lookups!$A$5:$A$75,0))</f>
        <v>Europe</v>
      </c>
      <c r="F126" s="9" t="str">
        <f aca="false">IF($D126="Latin America &amp; Caribbean","Yes","No")</f>
        <v>No</v>
      </c>
      <c r="G126" s="9" t="str">
        <f aca="false">IF($C126="VEN","In-country record","Abroad")</f>
        <v>Abroad</v>
      </c>
      <c r="H126" s="24" t="n">
        <v>0</v>
      </c>
      <c r="I126" s="24" t="n">
        <v>0</v>
      </c>
      <c r="J126" s="24" t="n">
        <v>0</v>
      </c>
      <c r="K126" s="24" t="n">
        <v>0</v>
      </c>
      <c r="L126" s="24" t="n">
        <v>0</v>
      </c>
      <c r="M126" s="24" t="n">
        <v>0</v>
      </c>
      <c r="N126" s="24" t="n">
        <v>0</v>
      </c>
      <c r="O126" s="24" t="n">
        <v>0</v>
      </c>
      <c r="P126" s="24" t="n">
        <v>0</v>
      </c>
      <c r="Q126" s="24" t="n">
        <v>0</v>
      </c>
      <c r="R126" s="24" t="n">
        <v>0</v>
      </c>
      <c r="S126" s="24" t="n">
        <v>0</v>
      </c>
      <c r="T126" s="24" t="n">
        <v>0</v>
      </c>
      <c r="U126" s="24" t="n">
        <v>0</v>
      </c>
      <c r="V126" s="24" t="n">
        <v>98</v>
      </c>
      <c r="W126" s="24" t="n">
        <f aca="false">N126+U126</f>
        <v>0</v>
      </c>
      <c r="X126" s="32" t="n">
        <f aca="false">IF(V126&gt;0,W126/V126,0)</f>
        <v>0</v>
      </c>
      <c r="Y126" s="9"/>
    </row>
    <row r="127" customFormat="false" ht="15" hidden="false" customHeight="false" outlineLevel="0" collapsed="false">
      <c r="A127" s="25" t="n">
        <v>2021</v>
      </c>
      <c r="B127" s="9" t="s">
        <v>307</v>
      </c>
      <c r="C127" s="9" t="s">
        <v>160</v>
      </c>
      <c r="D127" s="9" t="str">
        <f aca="false">INDEX(Lookups!$C$5:$C$75,MATCH($C127,Lookups!$A$5:$A$75,0))</f>
        <v>North America</v>
      </c>
      <c r="E127" s="9" t="str">
        <f aca="false">INDEX(Lookups!$D$5:$D$75,MATCH($C127,Lookups!$A$5:$A$75,0))</f>
        <v>North America</v>
      </c>
      <c r="F127" s="9" t="str">
        <f aca="false">IF($D127="Latin America &amp; Caribbean","Yes","No")</f>
        <v>No</v>
      </c>
      <c r="G127" s="9" t="str">
        <f aca="false">IF($C127="VEN","In-country record","Abroad")</f>
        <v>Abroad</v>
      </c>
      <c r="H127" s="24" t="n">
        <v>0</v>
      </c>
      <c r="I127" s="24" t="n">
        <v>0</v>
      </c>
      <c r="J127" s="24" t="n">
        <v>0</v>
      </c>
      <c r="K127" s="24" t="n">
        <v>0</v>
      </c>
      <c r="L127" s="24" t="n">
        <v>0</v>
      </c>
      <c r="M127" s="24" t="n">
        <v>0</v>
      </c>
      <c r="N127" s="24" t="n">
        <v>0</v>
      </c>
      <c r="O127" s="24" t="n">
        <v>0</v>
      </c>
      <c r="P127" s="24" t="n">
        <v>0</v>
      </c>
      <c r="Q127" s="24" t="n">
        <v>0</v>
      </c>
      <c r="R127" s="24" t="n">
        <v>0</v>
      </c>
      <c r="S127" s="24" t="n">
        <v>0</v>
      </c>
      <c r="T127" s="24" t="n">
        <v>0</v>
      </c>
      <c r="U127" s="24" t="n">
        <v>0</v>
      </c>
      <c r="V127" s="24" t="n">
        <v>265480</v>
      </c>
      <c r="W127" s="24" t="n">
        <f aca="false">N127+U127</f>
        <v>0</v>
      </c>
      <c r="X127" s="32" t="n">
        <f aca="false">IF(V127&gt;0,W127/V127,0)</f>
        <v>0</v>
      </c>
      <c r="Y127" s="9" t="s">
        <v>248</v>
      </c>
    </row>
    <row r="128" customFormat="false" ht="15" hidden="false" customHeight="false" outlineLevel="0" collapsed="false">
      <c r="A128" s="25" t="n">
        <v>2021</v>
      </c>
      <c r="B128" s="9" t="s">
        <v>308</v>
      </c>
      <c r="C128" s="9" t="s">
        <v>168</v>
      </c>
      <c r="D128" s="9" t="str">
        <f aca="false">INDEX(Lookups!$C$5:$C$75,MATCH($C128,Lookups!$A$5:$A$75,0))</f>
        <v>Latin America &amp; Caribbean</v>
      </c>
      <c r="E128" s="9" t="str">
        <f aca="false">INDEX(Lookups!$D$5:$D$75,MATCH($C128,Lookups!$A$5:$A$75,0))</f>
        <v>Southern Cone &amp; Brazil</v>
      </c>
      <c r="F128" s="9" t="str">
        <f aca="false">IF($D128="Latin America &amp; Caribbean","Yes","No")</f>
        <v>Yes</v>
      </c>
      <c r="G128" s="9" t="str">
        <f aca="false">IF($C128="VEN","In-country record","Abroad")</f>
        <v>Abroad</v>
      </c>
      <c r="H128" s="24" t="n">
        <v>63</v>
      </c>
      <c r="I128" s="24" t="n">
        <v>164</v>
      </c>
      <c r="J128" s="24" t="n">
        <v>80</v>
      </c>
      <c r="K128" s="24" t="n">
        <v>758</v>
      </c>
      <c r="L128" s="24" t="n">
        <v>46</v>
      </c>
      <c r="M128" s="24" t="n">
        <v>7885</v>
      </c>
      <c r="N128" s="24" t="n">
        <v>8996</v>
      </c>
      <c r="O128" s="24" t="n">
        <v>71</v>
      </c>
      <c r="P128" s="24" t="n">
        <v>161</v>
      </c>
      <c r="Q128" s="24" t="n">
        <v>86</v>
      </c>
      <c r="R128" s="24" t="n">
        <v>1028</v>
      </c>
      <c r="S128" s="24" t="n">
        <v>21</v>
      </c>
      <c r="T128" s="24" t="n">
        <v>7110</v>
      </c>
      <c r="U128" s="24" t="n">
        <v>8477</v>
      </c>
      <c r="V128" s="24" t="n">
        <v>17473</v>
      </c>
      <c r="W128" s="24" t="n">
        <f aca="false">N128+U128</f>
        <v>17473</v>
      </c>
      <c r="X128" s="32" t="n">
        <f aca="false">IF(V128&gt;0,W128/V128,0)</f>
        <v>1</v>
      </c>
      <c r="Y128" s="9"/>
    </row>
    <row r="129" customFormat="false" ht="15" hidden="false" customHeight="false" outlineLevel="0" collapsed="false">
      <c r="A129" s="25" t="n">
        <v>2021</v>
      </c>
      <c r="B129" s="9" t="s">
        <v>309</v>
      </c>
      <c r="C129" s="9" t="s">
        <v>310</v>
      </c>
      <c r="D129" s="9" t="str">
        <f aca="false">INDEX(Lookups!$C$5:$C$75,MATCH($C129,Lookups!$A$5:$A$75,0))</f>
        <v>Venezuela (in-country record)</v>
      </c>
      <c r="E129" s="9" t="str">
        <f aca="false">INDEX(Lookups!$D$5:$D$75,MATCH($C129,Lookups!$A$5:$A$75,0))</f>
        <v>Venezuela (in-country record)</v>
      </c>
      <c r="F129" s="9" t="str">
        <f aca="false">IF($D129="Latin America &amp; Caribbean","Yes","No")</f>
        <v>No</v>
      </c>
      <c r="G129" s="9" t="str">
        <f aca="false">IF($C129="VEN","In-country record","Abroad")</f>
        <v>In-country record</v>
      </c>
      <c r="H129" s="24" t="n">
        <v>35606</v>
      </c>
      <c r="I129" s="24" t="n">
        <v>56589</v>
      </c>
      <c r="J129" s="24" t="n">
        <v>92107</v>
      </c>
      <c r="K129" s="24" t="n">
        <v>576064</v>
      </c>
      <c r="L129" s="24" t="n">
        <v>53045</v>
      </c>
      <c r="M129" s="24" t="n">
        <v>0</v>
      </c>
      <c r="N129" s="24" t="n">
        <v>813411</v>
      </c>
      <c r="O129" s="24" t="n">
        <v>34214</v>
      </c>
      <c r="P129" s="24" t="n">
        <v>53518</v>
      </c>
      <c r="Q129" s="24" t="n">
        <v>78698</v>
      </c>
      <c r="R129" s="24" t="n">
        <v>365551</v>
      </c>
      <c r="S129" s="24" t="n">
        <v>44588</v>
      </c>
      <c r="T129" s="24" t="n">
        <v>0</v>
      </c>
      <c r="U129" s="24" t="n">
        <v>576569</v>
      </c>
      <c r="V129" s="24" t="n">
        <v>1389980</v>
      </c>
      <c r="W129" s="24" t="n">
        <f aca="false">N129+U129</f>
        <v>1389980</v>
      </c>
      <c r="X129" s="32" t="n">
        <f aca="false">IF(V129&gt;0,W129/V129,0)</f>
        <v>1</v>
      </c>
      <c r="Y129" s="9" t="s">
        <v>311</v>
      </c>
    </row>
    <row r="130" customFormat="false" ht="15" hidden="false" customHeight="false" outlineLevel="0" collapsed="false">
      <c r="A130" s="25" t="n">
        <v>2022</v>
      </c>
      <c r="B130" s="9" t="s">
        <v>245</v>
      </c>
      <c r="C130" s="9" t="s">
        <v>204</v>
      </c>
      <c r="D130" s="9" t="str">
        <f aca="false">INDEX(Lookups!$C$5:$C$75,MATCH($C130,Lookups!$A$5:$A$75,0))</f>
        <v>Europe</v>
      </c>
      <c r="E130" s="9" t="str">
        <f aca="false">INDEX(Lookups!$D$5:$D$75,MATCH($C130,Lookups!$A$5:$A$75,0))</f>
        <v>Europe</v>
      </c>
      <c r="F130" s="9" t="str">
        <f aca="false">IF($D130="Latin America &amp; Caribbean","Yes","No")</f>
        <v>No</v>
      </c>
      <c r="G130" s="9" t="str">
        <f aca="false">IF($C130="VEN","In-country record","Abroad")</f>
        <v>Abroad</v>
      </c>
      <c r="H130" s="24" t="n">
        <v>0</v>
      </c>
      <c r="I130" s="24" t="n">
        <v>0</v>
      </c>
      <c r="J130" s="24" t="n">
        <v>5</v>
      </c>
      <c r="K130" s="24" t="n">
        <v>0</v>
      </c>
      <c r="L130" s="24" t="n">
        <v>0</v>
      </c>
      <c r="M130" s="24" t="n">
        <v>0</v>
      </c>
      <c r="N130" s="24" t="n">
        <v>5</v>
      </c>
      <c r="O130" s="24" t="n">
        <v>0</v>
      </c>
      <c r="P130" s="24" t="n">
        <v>0</v>
      </c>
      <c r="Q130" s="24" t="n">
        <v>0</v>
      </c>
      <c r="R130" s="24" t="n">
        <v>0</v>
      </c>
      <c r="S130" s="24" t="n">
        <v>0</v>
      </c>
      <c r="T130" s="24" t="n">
        <v>0</v>
      </c>
      <c r="U130" s="24" t="n">
        <v>0</v>
      </c>
      <c r="V130" s="24" t="n">
        <v>5</v>
      </c>
      <c r="W130" s="24" t="n">
        <f aca="false">N130+U130</f>
        <v>5</v>
      </c>
      <c r="X130" s="32" t="n">
        <f aca="false">IF(V130&gt;0,W130/V130,0)</f>
        <v>1</v>
      </c>
      <c r="Y130" s="9"/>
    </row>
    <row r="131" customFormat="false" ht="15" hidden="false" customHeight="false" outlineLevel="0" collapsed="false">
      <c r="A131" s="25" t="n">
        <v>2022</v>
      </c>
      <c r="B131" s="9" t="s">
        <v>246</v>
      </c>
      <c r="C131" s="9" t="s">
        <v>211</v>
      </c>
      <c r="D131" s="9" t="str">
        <f aca="false">INDEX(Lookups!$C$5:$C$75,MATCH($C131,Lookups!$A$5:$A$75,0))</f>
        <v>Latin America &amp; Caribbean</v>
      </c>
      <c r="E131" s="9" t="str">
        <f aca="false">INDEX(Lookups!$D$5:$D$75,MATCH($C131,Lookups!$A$5:$A$75,0))</f>
        <v>Caribbean &amp; Guianas</v>
      </c>
      <c r="F131" s="9" t="str">
        <f aca="false">IF($D131="Latin America &amp; Caribbean","Yes","No")</f>
        <v>Yes</v>
      </c>
      <c r="G131" s="9" t="str">
        <f aca="false">IF($C131="VEN","In-country record","Abroad")</f>
        <v>Abroad</v>
      </c>
      <c r="H131" s="24" t="n">
        <v>0</v>
      </c>
      <c r="I131" s="24" t="n">
        <v>0</v>
      </c>
      <c r="J131" s="24" t="n">
        <v>0</v>
      </c>
      <c r="K131" s="24" t="n">
        <v>0</v>
      </c>
      <c r="L131" s="24" t="n">
        <v>0</v>
      </c>
      <c r="M131" s="24" t="n">
        <v>0</v>
      </c>
      <c r="N131" s="24" t="n">
        <v>0</v>
      </c>
      <c r="O131" s="24" t="n">
        <v>0</v>
      </c>
      <c r="P131" s="24" t="n">
        <v>0</v>
      </c>
      <c r="Q131" s="24" t="n">
        <v>0</v>
      </c>
      <c r="R131" s="24" t="n">
        <v>0</v>
      </c>
      <c r="S131" s="24" t="n">
        <v>0</v>
      </c>
      <c r="T131" s="24" t="n">
        <v>0</v>
      </c>
      <c r="U131" s="24" t="n">
        <v>0</v>
      </c>
      <c r="V131" s="24" t="n">
        <v>25</v>
      </c>
      <c r="W131" s="24" t="n">
        <f aca="false">N131+U131</f>
        <v>0</v>
      </c>
      <c r="X131" s="32" t="n">
        <f aca="false">IF(V131&gt;0,W131/V131,0)</f>
        <v>0</v>
      </c>
      <c r="Y131" s="9"/>
    </row>
    <row r="132" customFormat="false" ht="15" hidden="false" customHeight="false" outlineLevel="0" collapsed="false">
      <c r="A132" s="25" t="n">
        <v>2022</v>
      </c>
      <c r="B132" s="9" t="s">
        <v>317</v>
      </c>
      <c r="C132" s="9" t="s">
        <v>214</v>
      </c>
      <c r="D132" s="9" t="str">
        <f aca="false">INDEX(Lookups!$C$5:$C$75,MATCH($C132,Lookups!$A$5:$A$75,0))</f>
        <v>Latin America &amp; Caribbean</v>
      </c>
      <c r="E132" s="9" t="str">
        <f aca="false">INDEX(Lookups!$D$5:$D$75,MATCH($C132,Lookups!$A$5:$A$75,0))</f>
        <v>Caribbean &amp; Guianas</v>
      </c>
      <c r="F132" s="9" t="str">
        <f aca="false">IF($D132="Latin America &amp; Caribbean","Yes","No")</f>
        <v>Yes</v>
      </c>
      <c r="G132" s="9" t="str">
        <f aca="false">IF($C132="VEN","In-country record","Abroad")</f>
        <v>Abroad</v>
      </c>
      <c r="H132" s="24" t="n">
        <v>0</v>
      </c>
      <c r="I132" s="24" t="n">
        <v>0</v>
      </c>
      <c r="J132" s="24" t="n">
        <v>0</v>
      </c>
      <c r="K132" s="24" t="n">
        <v>0</v>
      </c>
      <c r="L132" s="24" t="n">
        <v>0</v>
      </c>
      <c r="M132" s="24" t="n">
        <v>0</v>
      </c>
      <c r="N132" s="24" t="n">
        <v>0</v>
      </c>
      <c r="O132" s="24" t="n">
        <v>0</v>
      </c>
      <c r="P132" s="24" t="n">
        <v>0</v>
      </c>
      <c r="Q132" s="24" t="n">
        <v>0</v>
      </c>
      <c r="R132" s="24" t="n">
        <v>0</v>
      </c>
      <c r="S132" s="24" t="n">
        <v>0</v>
      </c>
      <c r="T132" s="24" t="n">
        <v>0</v>
      </c>
      <c r="U132" s="24" t="n">
        <v>0</v>
      </c>
      <c r="V132" s="24" t="n">
        <v>54</v>
      </c>
      <c r="W132" s="24" t="n">
        <f aca="false">N132+U132</f>
        <v>0</v>
      </c>
      <c r="X132" s="32" t="n">
        <f aca="false">IF(V132&gt;0,W132/V132,0)</f>
        <v>0</v>
      </c>
      <c r="Y132" s="9"/>
    </row>
    <row r="133" customFormat="false" ht="15" hidden="false" customHeight="false" outlineLevel="0" collapsed="false">
      <c r="A133" s="25" t="n">
        <v>2022</v>
      </c>
      <c r="B133" s="9" t="s">
        <v>247</v>
      </c>
      <c r="C133" s="9" t="s">
        <v>162</v>
      </c>
      <c r="D133" s="9" t="str">
        <f aca="false">INDEX(Lookups!$C$5:$C$75,MATCH($C133,Lookups!$A$5:$A$75,0))</f>
        <v>Latin America &amp; Caribbean</v>
      </c>
      <c r="E133" s="9" t="str">
        <f aca="false">INDEX(Lookups!$D$5:$D$75,MATCH($C133,Lookups!$A$5:$A$75,0))</f>
        <v>Southern Cone &amp; Brazil</v>
      </c>
      <c r="F133" s="9" t="str">
        <f aca="false">IF($D133="Latin America &amp; Caribbean","Yes","No")</f>
        <v>Yes</v>
      </c>
      <c r="G133" s="9" t="str">
        <f aca="false">IF($C133="VEN","In-country record","Abroad")</f>
        <v>Abroad</v>
      </c>
      <c r="H133" s="24" t="n">
        <v>81</v>
      </c>
      <c r="I133" s="24" t="n">
        <v>395</v>
      </c>
      <c r="J133" s="24" t="n">
        <v>222</v>
      </c>
      <c r="K133" s="24" t="n">
        <v>68996</v>
      </c>
      <c r="L133" s="24" t="n">
        <v>157</v>
      </c>
      <c r="M133" s="24" t="n">
        <v>14049</v>
      </c>
      <c r="N133" s="24" t="n">
        <v>83900</v>
      </c>
      <c r="O133" s="24" t="n">
        <v>93</v>
      </c>
      <c r="P133" s="24" t="n">
        <v>468</v>
      </c>
      <c r="Q133" s="24" t="n">
        <v>207</v>
      </c>
      <c r="R133" s="24" t="n">
        <v>69885</v>
      </c>
      <c r="S133" s="24" t="n">
        <v>99</v>
      </c>
      <c r="T133" s="24" t="n">
        <v>16390</v>
      </c>
      <c r="U133" s="24" t="n">
        <v>87142</v>
      </c>
      <c r="V133" s="24" t="n">
        <v>171050</v>
      </c>
      <c r="W133" s="24" t="n">
        <f aca="false">N133+U133</f>
        <v>171042</v>
      </c>
      <c r="X133" s="32" t="n">
        <f aca="false">IF(V133&gt;0,W133/V133,0)</f>
        <v>0.999953230049693</v>
      </c>
      <c r="Y133" s="9"/>
    </row>
    <row r="134" customFormat="false" ht="15" hidden="false" customHeight="false" outlineLevel="0" collapsed="false">
      <c r="A134" s="25" t="n">
        <v>2022</v>
      </c>
      <c r="B134" s="9" t="s">
        <v>249</v>
      </c>
      <c r="C134" s="9" t="s">
        <v>173</v>
      </c>
      <c r="D134" s="9" t="str">
        <f aca="false">INDEX(Lookups!$C$5:$C$75,MATCH($C134,Lookups!$A$5:$A$75,0))</f>
        <v>Latin America &amp; Caribbean</v>
      </c>
      <c r="E134" s="9" t="str">
        <f aca="false">INDEX(Lookups!$D$5:$D$75,MATCH($C134,Lookups!$A$5:$A$75,0))</f>
        <v>Caribbean &amp; Guianas</v>
      </c>
      <c r="F134" s="9" t="str">
        <f aca="false">IF($D134="Latin America &amp; Caribbean","Yes","No")</f>
        <v>Yes</v>
      </c>
      <c r="G134" s="9" t="str">
        <f aca="false">IF($C134="VEN","In-country record","Abroad")</f>
        <v>Abroad</v>
      </c>
      <c r="H134" s="24" t="n">
        <v>0</v>
      </c>
      <c r="I134" s="24" t="n">
        <v>0</v>
      </c>
      <c r="J134" s="24" t="n">
        <v>0</v>
      </c>
      <c r="K134" s="24" t="n">
        <v>0</v>
      </c>
      <c r="L134" s="24" t="n">
        <v>0</v>
      </c>
      <c r="M134" s="24" t="n">
        <v>9000</v>
      </c>
      <c r="N134" s="24" t="n">
        <v>9000</v>
      </c>
      <c r="O134" s="24" t="n">
        <v>0</v>
      </c>
      <c r="P134" s="24" t="n">
        <v>0</v>
      </c>
      <c r="Q134" s="24" t="n">
        <v>0</v>
      </c>
      <c r="R134" s="24" t="n">
        <v>0</v>
      </c>
      <c r="S134" s="24" t="n">
        <v>0</v>
      </c>
      <c r="T134" s="24" t="n">
        <v>8000</v>
      </c>
      <c r="U134" s="24" t="n">
        <v>8000</v>
      </c>
      <c r="V134" s="24" t="n">
        <v>17000</v>
      </c>
      <c r="W134" s="24" t="n">
        <f aca="false">N134+U134</f>
        <v>17000</v>
      </c>
      <c r="X134" s="32" t="n">
        <f aca="false">IF(V134&gt;0,W134/V134,0)</f>
        <v>1</v>
      </c>
      <c r="Y134" s="9" t="s">
        <v>312</v>
      </c>
    </row>
    <row r="135" customFormat="false" ht="15" hidden="false" customHeight="false" outlineLevel="0" collapsed="false">
      <c r="A135" s="25" t="n">
        <v>2022</v>
      </c>
      <c r="B135" s="9" t="s">
        <v>251</v>
      </c>
      <c r="C135" s="9" t="s">
        <v>184</v>
      </c>
      <c r="D135" s="9" t="str">
        <f aca="false">INDEX(Lookups!$C$5:$C$75,MATCH($C135,Lookups!$A$5:$A$75,0))</f>
        <v>Other regions</v>
      </c>
      <c r="E135" s="9" t="str">
        <f aca="false">INDEX(Lookups!$D$5:$D$75,MATCH($C135,Lookups!$A$5:$A$75,0))</f>
        <v>Rest of world</v>
      </c>
      <c r="F135" s="9" t="str">
        <f aca="false">IF($D135="Latin America &amp; Caribbean","Yes","No")</f>
        <v>No</v>
      </c>
      <c r="G135" s="9" t="str">
        <f aca="false">IF($C135="VEN","In-country record","Abroad")</f>
        <v>Abroad</v>
      </c>
      <c r="H135" s="24" t="n">
        <v>0</v>
      </c>
      <c r="I135" s="24" t="n">
        <v>0</v>
      </c>
      <c r="J135" s="24" t="n">
        <v>0</v>
      </c>
      <c r="K135" s="24" t="n">
        <v>0</v>
      </c>
      <c r="L135" s="24" t="n">
        <v>0</v>
      </c>
      <c r="M135" s="24" t="n">
        <v>0</v>
      </c>
      <c r="N135" s="24" t="n">
        <v>0</v>
      </c>
      <c r="O135" s="24" t="n">
        <v>0</v>
      </c>
      <c r="P135" s="24" t="n">
        <v>0</v>
      </c>
      <c r="Q135" s="24" t="n">
        <v>0</v>
      </c>
      <c r="R135" s="24" t="n">
        <v>0</v>
      </c>
      <c r="S135" s="24" t="n">
        <v>0</v>
      </c>
      <c r="T135" s="24" t="n">
        <v>0</v>
      </c>
      <c r="U135" s="24" t="n">
        <v>0</v>
      </c>
      <c r="V135" s="24" t="n">
        <v>504</v>
      </c>
      <c r="W135" s="24" t="n">
        <f aca="false">N135+U135</f>
        <v>0</v>
      </c>
      <c r="X135" s="32" t="n">
        <f aca="false">IF(V135&gt;0,W135/V135,0)</f>
        <v>0</v>
      </c>
      <c r="Y135" s="9"/>
    </row>
    <row r="136" customFormat="false" ht="15" hidden="false" customHeight="false" outlineLevel="0" collapsed="false">
      <c r="A136" s="25" t="n">
        <v>2022</v>
      </c>
      <c r="B136" s="9" t="s">
        <v>252</v>
      </c>
      <c r="C136" s="9" t="s">
        <v>187</v>
      </c>
      <c r="D136" s="9" t="str">
        <f aca="false">INDEX(Lookups!$C$5:$C$75,MATCH($C136,Lookups!$A$5:$A$75,0))</f>
        <v>Europe</v>
      </c>
      <c r="E136" s="9" t="str">
        <f aca="false">INDEX(Lookups!$D$5:$D$75,MATCH($C136,Lookups!$A$5:$A$75,0))</f>
        <v>Europe</v>
      </c>
      <c r="F136" s="9" t="str">
        <f aca="false">IF($D136="Latin America &amp; Caribbean","Yes","No")</f>
        <v>No</v>
      </c>
      <c r="G136" s="9" t="str">
        <f aca="false">IF($C136="VEN","In-country record","Abroad")</f>
        <v>Abroad</v>
      </c>
      <c r="H136" s="24" t="n">
        <v>0</v>
      </c>
      <c r="I136" s="24" t="n">
        <v>0</v>
      </c>
      <c r="J136" s="24" t="n">
        <v>0</v>
      </c>
      <c r="K136" s="24" t="n">
        <v>0</v>
      </c>
      <c r="L136" s="24" t="n">
        <v>0</v>
      </c>
      <c r="M136" s="24" t="n">
        <v>37</v>
      </c>
      <c r="N136" s="24" t="n">
        <v>37</v>
      </c>
      <c r="O136" s="24" t="n">
        <v>0</v>
      </c>
      <c r="P136" s="24" t="n">
        <v>0</v>
      </c>
      <c r="Q136" s="24" t="n">
        <v>0</v>
      </c>
      <c r="R136" s="24" t="n">
        <v>0</v>
      </c>
      <c r="S136" s="24" t="n">
        <v>0</v>
      </c>
      <c r="T136" s="24" t="n">
        <v>20</v>
      </c>
      <c r="U136" s="24" t="n">
        <v>20</v>
      </c>
      <c r="V136" s="24" t="n">
        <v>161</v>
      </c>
      <c r="W136" s="24" t="n">
        <f aca="false">N136+U136</f>
        <v>57</v>
      </c>
      <c r="X136" s="32" t="n">
        <f aca="false">IF(V136&gt;0,W136/V136,0)</f>
        <v>0.354037267080745</v>
      </c>
      <c r="Y136" s="9"/>
    </row>
    <row r="137" customFormat="false" ht="15" hidden="false" customHeight="false" outlineLevel="0" collapsed="false">
      <c r="A137" s="25" t="n">
        <v>2022</v>
      </c>
      <c r="B137" s="9" t="s">
        <v>254</v>
      </c>
      <c r="C137" s="9" t="s">
        <v>181</v>
      </c>
      <c r="D137" s="9" t="str">
        <f aca="false">INDEX(Lookups!$C$5:$C$75,MATCH($C137,Lookups!$A$5:$A$75,0))</f>
        <v>Europe</v>
      </c>
      <c r="E137" s="9" t="str">
        <f aca="false">INDEX(Lookups!$D$5:$D$75,MATCH($C137,Lookups!$A$5:$A$75,0))</f>
        <v>Europe</v>
      </c>
      <c r="F137" s="9" t="str">
        <f aca="false">IF($D137="Latin America &amp; Caribbean","Yes","No")</f>
        <v>No</v>
      </c>
      <c r="G137" s="9" t="str">
        <f aca="false">IF($C137="VEN","In-country record","Abroad")</f>
        <v>Abroad</v>
      </c>
      <c r="H137" s="24" t="n">
        <v>0</v>
      </c>
      <c r="I137" s="24" t="n">
        <v>0</v>
      </c>
      <c r="J137" s="24" t="n">
        <v>0</v>
      </c>
      <c r="K137" s="24" t="n">
        <v>0</v>
      </c>
      <c r="L137" s="24" t="n">
        <v>0</v>
      </c>
      <c r="M137" s="24" t="n">
        <v>422</v>
      </c>
      <c r="N137" s="24" t="n">
        <v>422</v>
      </c>
      <c r="O137" s="24" t="n">
        <v>0</v>
      </c>
      <c r="P137" s="24" t="n">
        <v>0</v>
      </c>
      <c r="Q137" s="24" t="n">
        <v>0</v>
      </c>
      <c r="R137" s="24" t="n">
        <v>0</v>
      </c>
      <c r="S137" s="24" t="n">
        <v>0</v>
      </c>
      <c r="T137" s="24" t="n">
        <v>436</v>
      </c>
      <c r="U137" s="24" t="n">
        <v>436</v>
      </c>
      <c r="V137" s="24" t="n">
        <v>858</v>
      </c>
      <c r="W137" s="24" t="n">
        <f aca="false">N137+U137</f>
        <v>858</v>
      </c>
      <c r="X137" s="32" t="n">
        <f aca="false">IF(V137&gt;0,W137/V137,0)</f>
        <v>1</v>
      </c>
      <c r="Y137" s="9"/>
    </row>
    <row r="138" customFormat="false" ht="15" hidden="false" customHeight="false" outlineLevel="0" collapsed="false">
      <c r="A138" s="25" t="n">
        <v>2022</v>
      </c>
      <c r="B138" s="9" t="s">
        <v>255</v>
      </c>
      <c r="C138" s="9" t="s">
        <v>171</v>
      </c>
      <c r="D138" s="9" t="str">
        <f aca="false">INDEX(Lookups!$C$5:$C$75,MATCH($C138,Lookups!$A$5:$A$75,0))</f>
        <v>Latin America &amp; Caribbean</v>
      </c>
      <c r="E138" s="9" t="str">
        <f aca="false">INDEX(Lookups!$D$5:$D$75,MATCH($C138,Lookups!$A$5:$A$75,0))</f>
        <v>Andean region</v>
      </c>
      <c r="F138" s="9" t="str">
        <f aca="false">IF($D138="Latin America &amp; Caribbean","Yes","No")</f>
        <v>Yes</v>
      </c>
      <c r="G138" s="9" t="str">
        <f aca="false">IF($C138="VEN","In-country record","Abroad")</f>
        <v>Abroad</v>
      </c>
      <c r="H138" s="24" t="n">
        <v>0</v>
      </c>
      <c r="I138" s="24" t="n">
        <v>0</v>
      </c>
      <c r="J138" s="24" t="n">
        <v>0</v>
      </c>
      <c r="K138" s="24" t="n">
        <v>0</v>
      </c>
      <c r="L138" s="24" t="n">
        <v>0</v>
      </c>
      <c r="M138" s="24" t="n">
        <v>0</v>
      </c>
      <c r="N138" s="24" t="n">
        <v>0</v>
      </c>
      <c r="O138" s="24" t="n">
        <v>0</v>
      </c>
      <c r="P138" s="24" t="n">
        <v>0</v>
      </c>
      <c r="Q138" s="24" t="n">
        <v>0</v>
      </c>
      <c r="R138" s="24" t="n">
        <v>0</v>
      </c>
      <c r="S138" s="24" t="n">
        <v>0</v>
      </c>
      <c r="T138" s="24" t="n">
        <v>0</v>
      </c>
      <c r="U138" s="24" t="n">
        <v>0</v>
      </c>
      <c r="V138" s="24" t="n">
        <v>13774</v>
      </c>
      <c r="W138" s="24" t="n">
        <f aca="false">N138+U138</f>
        <v>0</v>
      </c>
      <c r="X138" s="32" t="n">
        <f aca="false">IF(V138&gt;0,W138/V138,0)</f>
        <v>0</v>
      </c>
      <c r="Y138" s="9" t="s">
        <v>318</v>
      </c>
    </row>
    <row r="139" customFormat="false" ht="15" hidden="false" customHeight="false" outlineLevel="0" collapsed="false">
      <c r="A139" s="25" t="n">
        <v>2022</v>
      </c>
      <c r="B139" s="9" t="s">
        <v>256</v>
      </c>
      <c r="C139" s="9" t="s">
        <v>157</v>
      </c>
      <c r="D139" s="9" t="str">
        <f aca="false">INDEX(Lookups!$C$5:$C$75,MATCH($C139,Lookups!$A$5:$A$75,0))</f>
        <v>Latin America &amp; Caribbean</v>
      </c>
      <c r="E139" s="9" t="str">
        <f aca="false">INDEX(Lookups!$D$5:$D$75,MATCH($C139,Lookups!$A$5:$A$75,0))</f>
        <v>Southern Cone &amp; Brazil</v>
      </c>
      <c r="F139" s="9" t="str">
        <f aca="false">IF($D139="Latin America &amp; Caribbean","Yes","No")</f>
        <v>Yes</v>
      </c>
      <c r="G139" s="9" t="str">
        <f aca="false">IF($C139="VEN","In-country record","Abroad")</f>
        <v>Abroad</v>
      </c>
      <c r="H139" s="24" t="n">
        <v>0</v>
      </c>
      <c r="I139" s="24" t="n">
        <v>0</v>
      </c>
      <c r="J139" s="24" t="n">
        <v>0</v>
      </c>
      <c r="K139" s="24" t="n">
        <v>0</v>
      </c>
      <c r="L139" s="24" t="n">
        <v>0</v>
      </c>
      <c r="M139" s="24" t="n">
        <v>0</v>
      </c>
      <c r="N139" s="24" t="n">
        <v>0</v>
      </c>
      <c r="O139" s="24" t="n">
        <v>0</v>
      </c>
      <c r="P139" s="24" t="n">
        <v>0</v>
      </c>
      <c r="Q139" s="24" t="n">
        <v>0</v>
      </c>
      <c r="R139" s="24" t="n">
        <v>0</v>
      </c>
      <c r="S139" s="24" t="n">
        <v>0</v>
      </c>
      <c r="T139" s="24" t="n">
        <v>0</v>
      </c>
      <c r="U139" s="24" t="n">
        <v>0</v>
      </c>
      <c r="V139" s="24" t="n">
        <v>414502</v>
      </c>
      <c r="W139" s="24" t="n">
        <f aca="false">N139+U139</f>
        <v>0</v>
      </c>
      <c r="X139" s="32" t="n">
        <f aca="false">IF(V139&gt;0,W139/V139,0)</f>
        <v>0</v>
      </c>
      <c r="Y139" s="9" t="s">
        <v>248</v>
      </c>
    </row>
    <row r="140" customFormat="false" ht="15" hidden="false" customHeight="false" outlineLevel="0" collapsed="false">
      <c r="A140" s="25" t="n">
        <v>2022</v>
      </c>
      <c r="B140" s="9" t="s">
        <v>258</v>
      </c>
      <c r="C140" s="9" t="s">
        <v>176</v>
      </c>
      <c r="D140" s="9" t="str">
        <f aca="false">INDEX(Lookups!$C$5:$C$75,MATCH($C140,Lookups!$A$5:$A$75,0))</f>
        <v>North America</v>
      </c>
      <c r="E140" s="9" t="str">
        <f aca="false">INDEX(Lookups!$D$5:$D$75,MATCH($C140,Lookups!$A$5:$A$75,0))</f>
        <v>North America</v>
      </c>
      <c r="F140" s="9" t="str">
        <f aca="false">IF($D140="Latin America &amp; Caribbean","Yes","No")</f>
        <v>No</v>
      </c>
      <c r="G140" s="9" t="str">
        <f aca="false">IF($C140="VEN","In-country record","Abroad")</f>
        <v>Abroad</v>
      </c>
      <c r="H140" s="24" t="n">
        <v>12</v>
      </c>
      <c r="I140" s="24" t="n">
        <v>106</v>
      </c>
      <c r="J140" s="24" t="n">
        <v>83</v>
      </c>
      <c r="K140" s="24" t="n">
        <v>750</v>
      </c>
      <c r="L140" s="24" t="n">
        <v>359</v>
      </c>
      <c r="M140" s="24" t="n">
        <v>0</v>
      </c>
      <c r="N140" s="24" t="n">
        <v>1310</v>
      </c>
      <c r="O140" s="24" t="n">
        <v>16</v>
      </c>
      <c r="P140" s="24" t="n">
        <v>100</v>
      </c>
      <c r="Q140" s="24" t="n">
        <v>102</v>
      </c>
      <c r="R140" s="24" t="n">
        <v>792</v>
      </c>
      <c r="S140" s="24" t="n">
        <v>188</v>
      </c>
      <c r="T140" s="24" t="n">
        <v>0</v>
      </c>
      <c r="U140" s="24" t="n">
        <v>1198</v>
      </c>
      <c r="V140" s="24" t="n">
        <v>3601</v>
      </c>
      <c r="W140" s="24" t="n">
        <f aca="false">N140+U140</f>
        <v>2508</v>
      </c>
      <c r="X140" s="32" t="n">
        <f aca="false">IF(V140&gt;0,W140/V140,0)</f>
        <v>0.696473201888364</v>
      </c>
      <c r="Y140" s="9"/>
    </row>
    <row r="141" customFormat="false" ht="15" hidden="false" customHeight="false" outlineLevel="0" collapsed="false">
      <c r="A141" s="25" t="n">
        <v>2022</v>
      </c>
      <c r="B141" s="9" t="s">
        <v>259</v>
      </c>
      <c r="C141" s="9" t="s">
        <v>195</v>
      </c>
      <c r="D141" s="9" t="str">
        <f aca="false">INDEX(Lookups!$C$5:$C$75,MATCH($C141,Lookups!$A$5:$A$75,0))</f>
        <v>Latin America &amp; Caribbean</v>
      </c>
      <c r="E141" s="9" t="str">
        <f aca="false">INDEX(Lookups!$D$5:$D$75,MATCH($C141,Lookups!$A$5:$A$75,0))</f>
        <v>Caribbean &amp; Guianas</v>
      </c>
      <c r="F141" s="9" t="str">
        <f aca="false">IF($D141="Latin America &amp; Caribbean","Yes","No")</f>
        <v>Yes</v>
      </c>
      <c r="G141" s="9" t="str">
        <f aca="false">IF($C141="VEN","In-country record","Abroad")</f>
        <v>Abroad</v>
      </c>
      <c r="H141" s="24" t="n">
        <v>0</v>
      </c>
      <c r="I141" s="24" t="n">
        <v>0</v>
      </c>
      <c r="J141" s="24" t="n">
        <v>0</v>
      </c>
      <c r="K141" s="24" t="n">
        <v>0</v>
      </c>
      <c r="L141" s="24" t="n">
        <v>0</v>
      </c>
      <c r="M141" s="24" t="n">
        <v>0</v>
      </c>
      <c r="N141" s="24" t="n">
        <v>0</v>
      </c>
      <c r="O141" s="24" t="n">
        <v>0</v>
      </c>
      <c r="P141" s="24" t="n">
        <v>0</v>
      </c>
      <c r="Q141" s="24" t="n">
        <v>0</v>
      </c>
      <c r="R141" s="24" t="n">
        <v>0</v>
      </c>
      <c r="S141" s="24" t="n">
        <v>0</v>
      </c>
      <c r="T141" s="24" t="n">
        <v>0</v>
      </c>
      <c r="U141" s="24" t="n">
        <v>0</v>
      </c>
      <c r="V141" s="24" t="n">
        <v>144</v>
      </c>
      <c r="W141" s="24" t="n">
        <f aca="false">N141+U141</f>
        <v>0</v>
      </c>
      <c r="X141" s="32" t="n">
        <f aca="false">IF(V141&gt;0,W141/V141,0)</f>
        <v>0</v>
      </c>
      <c r="Y141" s="9"/>
    </row>
    <row r="142" customFormat="false" ht="15" hidden="false" customHeight="false" outlineLevel="0" collapsed="false">
      <c r="A142" s="25" t="n">
        <v>2022</v>
      </c>
      <c r="B142" s="9" t="s">
        <v>260</v>
      </c>
      <c r="C142" s="9" t="s">
        <v>158</v>
      </c>
      <c r="D142" s="9" t="str">
        <f aca="false">INDEX(Lookups!$C$5:$C$75,MATCH($C142,Lookups!$A$5:$A$75,0))</f>
        <v>Latin America &amp; Caribbean</v>
      </c>
      <c r="E142" s="9" t="str">
        <f aca="false">INDEX(Lookups!$D$5:$D$75,MATCH($C142,Lookups!$A$5:$A$75,0))</f>
        <v>Southern Cone &amp; Brazil</v>
      </c>
      <c r="F142" s="9" t="str">
        <f aca="false">IF($D142="Latin America &amp; Caribbean","Yes","No")</f>
        <v>Yes</v>
      </c>
      <c r="G142" s="9" t="str">
        <f aca="false">IF($C142="VEN","In-country record","Abroad")</f>
        <v>Abroad</v>
      </c>
      <c r="H142" s="24" t="n">
        <v>155</v>
      </c>
      <c r="I142" s="24" t="n">
        <v>438</v>
      </c>
      <c r="J142" s="24" t="n">
        <v>207</v>
      </c>
      <c r="K142" s="24" t="n">
        <v>2970</v>
      </c>
      <c r="L142" s="24" t="n">
        <v>189</v>
      </c>
      <c r="M142" s="24" t="n">
        <v>228168</v>
      </c>
      <c r="N142" s="24" t="n">
        <v>232127</v>
      </c>
      <c r="O142" s="24" t="n">
        <v>116</v>
      </c>
      <c r="P142" s="24" t="n">
        <v>411</v>
      </c>
      <c r="Q142" s="24" t="n">
        <v>224</v>
      </c>
      <c r="R142" s="24" t="n">
        <v>2775</v>
      </c>
      <c r="S142" s="24" t="n">
        <v>93</v>
      </c>
      <c r="T142" s="24" t="n">
        <v>208677</v>
      </c>
      <c r="U142" s="24" t="n">
        <v>212296</v>
      </c>
      <c r="V142" s="24" t="n">
        <v>444423</v>
      </c>
      <c r="W142" s="24" t="n">
        <f aca="false">N142+U142</f>
        <v>444423</v>
      </c>
      <c r="X142" s="32" t="n">
        <f aca="false">IF(V142&gt;0,W142/V142,0)</f>
        <v>1</v>
      </c>
      <c r="Y142" s="9" t="s">
        <v>313</v>
      </c>
    </row>
    <row r="143" customFormat="false" ht="15" hidden="false" customHeight="false" outlineLevel="0" collapsed="false">
      <c r="A143" s="25" t="n">
        <v>2022</v>
      </c>
      <c r="B143" s="9" t="s">
        <v>101</v>
      </c>
      <c r="C143" s="9" t="s">
        <v>155</v>
      </c>
      <c r="D143" s="9" t="str">
        <f aca="false">INDEX(Lookups!$C$5:$C$75,MATCH($C143,Lookups!$A$5:$A$75,0))</f>
        <v>Latin America &amp; Caribbean</v>
      </c>
      <c r="E143" s="9" t="str">
        <f aca="false">INDEX(Lookups!$D$5:$D$75,MATCH($C143,Lookups!$A$5:$A$75,0))</f>
        <v>Andean region</v>
      </c>
      <c r="F143" s="9" t="str">
        <f aca="false">IF($D143="Latin America &amp; Caribbean","Yes","No")</f>
        <v>Yes</v>
      </c>
      <c r="G143" s="9" t="str">
        <f aca="false">IF($C143="VEN","In-country record","Abroad")</f>
        <v>Abroad</v>
      </c>
      <c r="H143" s="24" t="n">
        <v>124208</v>
      </c>
      <c r="I143" s="24" t="n">
        <v>126024</v>
      </c>
      <c r="J143" s="24" t="n">
        <v>125218</v>
      </c>
      <c r="K143" s="24" t="n">
        <v>867904</v>
      </c>
      <c r="L143" s="24" t="n">
        <v>43490</v>
      </c>
      <c r="M143" s="24" t="n">
        <v>2540</v>
      </c>
      <c r="N143" s="24" t="n">
        <v>1289384</v>
      </c>
      <c r="O143" s="24" t="n">
        <v>125144</v>
      </c>
      <c r="P143" s="24" t="n">
        <v>126870</v>
      </c>
      <c r="Q143" s="24" t="n">
        <v>126018</v>
      </c>
      <c r="R143" s="24" t="n">
        <v>778879</v>
      </c>
      <c r="S143" s="24" t="n">
        <v>28740</v>
      </c>
      <c r="T143" s="24" t="n">
        <v>2553</v>
      </c>
      <c r="U143" s="24" t="n">
        <v>1188204</v>
      </c>
      <c r="V143" s="24" t="n">
        <v>2477588</v>
      </c>
      <c r="W143" s="24" t="n">
        <f aca="false">N143+U143</f>
        <v>2477588</v>
      </c>
      <c r="X143" s="32" t="n">
        <f aca="false">IF(V143&gt;0,W143/V143,0)</f>
        <v>1</v>
      </c>
      <c r="Y143" s="9"/>
    </row>
    <row r="144" customFormat="false" ht="15" hidden="false" customHeight="false" outlineLevel="0" collapsed="false">
      <c r="A144" s="25" t="n">
        <v>2022</v>
      </c>
      <c r="B144" s="9" t="s">
        <v>261</v>
      </c>
      <c r="C144" s="9" t="s">
        <v>166</v>
      </c>
      <c r="D144" s="9" t="str">
        <f aca="false">INDEX(Lookups!$C$5:$C$75,MATCH($C144,Lookups!$A$5:$A$75,0))</f>
        <v>Latin America &amp; Caribbean</v>
      </c>
      <c r="E144" s="9" t="str">
        <f aca="false">INDEX(Lookups!$D$5:$D$75,MATCH($C144,Lookups!$A$5:$A$75,0))</f>
        <v>Central America &amp; Mexico</v>
      </c>
      <c r="F144" s="9" t="str">
        <f aca="false">IF($D144="Latin America &amp; Caribbean","Yes","No")</f>
        <v>Yes</v>
      </c>
      <c r="G144" s="9" t="str">
        <f aca="false">IF($C144="VEN","In-country record","Abroad")</f>
        <v>Abroad</v>
      </c>
      <c r="H144" s="24" t="n">
        <v>0</v>
      </c>
      <c r="I144" s="24" t="n">
        <v>0</v>
      </c>
      <c r="J144" s="24" t="n">
        <v>0</v>
      </c>
      <c r="K144" s="24" t="n">
        <v>0</v>
      </c>
      <c r="L144" s="24" t="n">
        <v>0</v>
      </c>
      <c r="M144" s="24" t="n">
        <v>0</v>
      </c>
      <c r="N144" s="24" t="n">
        <v>0</v>
      </c>
      <c r="O144" s="24" t="n">
        <v>0</v>
      </c>
      <c r="P144" s="24" t="n">
        <v>0</v>
      </c>
      <c r="Q144" s="24" t="n">
        <v>0</v>
      </c>
      <c r="R144" s="24" t="n">
        <v>0</v>
      </c>
      <c r="S144" s="24" t="n">
        <v>0</v>
      </c>
      <c r="T144" s="24" t="n">
        <v>0</v>
      </c>
      <c r="U144" s="24" t="n">
        <v>0</v>
      </c>
      <c r="V144" s="24" t="n">
        <v>30107</v>
      </c>
      <c r="W144" s="24" t="n">
        <f aca="false">N144+U144</f>
        <v>0</v>
      </c>
      <c r="X144" s="32" t="n">
        <f aca="false">IF(V144&gt;0,W144/V144,0)</f>
        <v>0</v>
      </c>
      <c r="Y144" s="9" t="s">
        <v>314</v>
      </c>
    </row>
    <row r="145" customFormat="false" ht="15" hidden="false" customHeight="false" outlineLevel="0" collapsed="false">
      <c r="A145" s="25" t="n">
        <v>2022</v>
      </c>
      <c r="B145" s="9" t="s">
        <v>262</v>
      </c>
      <c r="C145" s="9" t="s">
        <v>177</v>
      </c>
      <c r="D145" s="9" t="str">
        <f aca="false">INDEX(Lookups!$C$5:$C$75,MATCH($C145,Lookups!$A$5:$A$75,0))</f>
        <v>Latin America &amp; Caribbean</v>
      </c>
      <c r="E145" s="9" t="str">
        <f aca="false">INDEX(Lookups!$D$5:$D$75,MATCH($C145,Lookups!$A$5:$A$75,0))</f>
        <v>Caribbean &amp; Guianas</v>
      </c>
      <c r="F145" s="9" t="str">
        <f aca="false">IF($D145="Latin America &amp; Caribbean","Yes","No")</f>
        <v>Yes</v>
      </c>
      <c r="G145" s="9" t="str">
        <f aca="false">IF($C145="VEN","In-country record","Abroad")</f>
        <v>Abroad</v>
      </c>
      <c r="H145" s="24" t="n">
        <v>0</v>
      </c>
      <c r="I145" s="24" t="n">
        <v>0</v>
      </c>
      <c r="J145" s="24" t="n">
        <v>0</v>
      </c>
      <c r="K145" s="24" t="n">
        <v>0</v>
      </c>
      <c r="L145" s="24" t="n">
        <v>0</v>
      </c>
      <c r="M145" s="24" t="n">
        <v>8000</v>
      </c>
      <c r="N145" s="24" t="n">
        <v>8000</v>
      </c>
      <c r="O145" s="24" t="n">
        <v>0</v>
      </c>
      <c r="P145" s="24" t="n">
        <v>0</v>
      </c>
      <c r="Q145" s="24" t="n">
        <v>0</v>
      </c>
      <c r="R145" s="24" t="n">
        <v>0</v>
      </c>
      <c r="S145" s="24" t="n">
        <v>0</v>
      </c>
      <c r="T145" s="24" t="n">
        <v>6000</v>
      </c>
      <c r="U145" s="24" t="n">
        <v>6000</v>
      </c>
      <c r="V145" s="24" t="n">
        <v>14000</v>
      </c>
      <c r="W145" s="24" t="n">
        <f aca="false">N145+U145</f>
        <v>14000</v>
      </c>
      <c r="X145" s="32" t="n">
        <f aca="false">IF(V145&gt;0,W145/V145,0)</f>
        <v>1</v>
      </c>
      <c r="Y145" s="9" t="s">
        <v>312</v>
      </c>
    </row>
    <row r="146" customFormat="false" ht="15" hidden="false" customHeight="false" outlineLevel="0" collapsed="false">
      <c r="A146" s="25" t="n">
        <v>2022</v>
      </c>
      <c r="B146" s="9" t="s">
        <v>263</v>
      </c>
      <c r="C146" s="9" t="s">
        <v>200</v>
      </c>
      <c r="D146" s="9" t="str">
        <f aca="false">INDEX(Lookups!$C$5:$C$75,MATCH($C146,Lookups!$A$5:$A$75,0))</f>
        <v>Europe</v>
      </c>
      <c r="E146" s="9" t="str">
        <f aca="false">INDEX(Lookups!$D$5:$D$75,MATCH($C146,Lookups!$A$5:$A$75,0))</f>
        <v>Europe</v>
      </c>
      <c r="F146" s="9" t="str">
        <f aca="false">IF($D146="Latin America &amp; Caribbean","Yes","No")</f>
        <v>No</v>
      </c>
      <c r="G146" s="9" t="str">
        <f aca="false">IF($C146="VEN","In-country record","Abroad")</f>
        <v>Abroad</v>
      </c>
      <c r="H146" s="24" t="n">
        <v>0</v>
      </c>
      <c r="I146" s="24" t="n">
        <v>0</v>
      </c>
      <c r="J146" s="24" t="n">
        <v>0</v>
      </c>
      <c r="K146" s="24" t="n">
        <v>0</v>
      </c>
      <c r="L146" s="24" t="n">
        <v>0</v>
      </c>
      <c r="M146" s="24" t="n">
        <v>0</v>
      </c>
      <c r="N146" s="24" t="n">
        <v>0</v>
      </c>
      <c r="O146" s="24" t="n">
        <v>0</v>
      </c>
      <c r="P146" s="24" t="n">
        <v>0</v>
      </c>
      <c r="Q146" s="24" t="n">
        <v>0</v>
      </c>
      <c r="R146" s="24" t="n">
        <v>0</v>
      </c>
      <c r="S146" s="24" t="n">
        <v>0</v>
      </c>
      <c r="T146" s="24" t="n">
        <v>0</v>
      </c>
      <c r="U146" s="24" t="n">
        <v>0</v>
      </c>
      <c r="V146" s="24" t="n">
        <v>11</v>
      </c>
      <c r="W146" s="24" t="n">
        <f aca="false">N146+U146</f>
        <v>0</v>
      </c>
      <c r="X146" s="32" t="n">
        <f aca="false">IF(V146&gt;0,W146/V146,0)</f>
        <v>0</v>
      </c>
      <c r="Y146" s="9"/>
    </row>
    <row r="147" customFormat="false" ht="15" hidden="false" customHeight="false" outlineLevel="0" collapsed="false">
      <c r="A147" s="25" t="n">
        <v>2022</v>
      </c>
      <c r="B147" s="9" t="s">
        <v>264</v>
      </c>
      <c r="C147" s="9" t="s">
        <v>203</v>
      </c>
      <c r="D147" s="9" t="str">
        <f aca="false">INDEX(Lookups!$C$5:$C$75,MATCH($C147,Lookups!$A$5:$A$75,0))</f>
        <v>Europe</v>
      </c>
      <c r="E147" s="9" t="str">
        <f aca="false">INDEX(Lookups!$D$5:$D$75,MATCH($C147,Lookups!$A$5:$A$75,0))</f>
        <v>Europe</v>
      </c>
      <c r="F147" s="9" t="str">
        <f aca="false">IF($D147="Latin America &amp; Caribbean","Yes","No")</f>
        <v>No</v>
      </c>
      <c r="G147" s="9" t="str">
        <f aca="false">IF($C147="VEN","In-country record","Abroad")</f>
        <v>Abroad</v>
      </c>
      <c r="H147" s="24" t="n">
        <v>0</v>
      </c>
      <c r="I147" s="24" t="n">
        <v>0</v>
      </c>
      <c r="J147" s="24" t="n">
        <v>0</v>
      </c>
      <c r="K147" s="24" t="n">
        <v>0</v>
      </c>
      <c r="L147" s="24" t="n">
        <v>0</v>
      </c>
      <c r="M147" s="24" t="n">
        <v>0</v>
      </c>
      <c r="N147" s="24" t="n">
        <v>0</v>
      </c>
      <c r="O147" s="24" t="n">
        <v>0</v>
      </c>
      <c r="P147" s="24" t="n">
        <v>0</v>
      </c>
      <c r="Q147" s="24" t="n">
        <v>0</v>
      </c>
      <c r="R147" s="24" t="n">
        <v>0</v>
      </c>
      <c r="S147" s="24" t="n">
        <v>0</v>
      </c>
      <c r="T147" s="24" t="n">
        <v>7</v>
      </c>
      <c r="U147" s="24" t="n">
        <v>7</v>
      </c>
      <c r="V147" s="24" t="n">
        <v>12</v>
      </c>
      <c r="W147" s="24" t="n">
        <f aca="false">N147+U147</f>
        <v>7</v>
      </c>
      <c r="X147" s="32" t="n">
        <f aca="false">IF(V147&gt;0,W147/V147,0)</f>
        <v>0.583333333333333</v>
      </c>
      <c r="Y147" s="9"/>
    </row>
    <row r="148" customFormat="false" ht="15" hidden="false" customHeight="false" outlineLevel="0" collapsed="false">
      <c r="A148" s="25" t="n">
        <v>2022</v>
      </c>
      <c r="B148" s="9" t="s">
        <v>265</v>
      </c>
      <c r="C148" s="9" t="s">
        <v>164</v>
      </c>
      <c r="D148" s="9" t="str">
        <f aca="false">INDEX(Lookups!$C$5:$C$75,MATCH($C148,Lookups!$A$5:$A$75,0))</f>
        <v>Latin America &amp; Caribbean</v>
      </c>
      <c r="E148" s="9" t="str">
        <f aca="false">INDEX(Lookups!$D$5:$D$75,MATCH($C148,Lookups!$A$5:$A$75,0))</f>
        <v>Caribbean &amp; Guianas</v>
      </c>
      <c r="F148" s="9" t="str">
        <f aca="false">IF($D148="Latin America &amp; Caribbean","Yes","No")</f>
        <v>Yes</v>
      </c>
      <c r="G148" s="9" t="str">
        <f aca="false">IF($C148="VEN","In-country record","Abroad")</f>
        <v>Abroad</v>
      </c>
      <c r="H148" s="24" t="n">
        <v>0</v>
      </c>
      <c r="I148" s="24" t="n">
        <v>0</v>
      </c>
      <c r="J148" s="24" t="n">
        <v>0</v>
      </c>
      <c r="K148" s="24" t="n">
        <v>0</v>
      </c>
      <c r="L148" s="24" t="n">
        <v>0</v>
      </c>
      <c r="M148" s="24" t="n">
        <v>0</v>
      </c>
      <c r="N148" s="24" t="n">
        <v>0</v>
      </c>
      <c r="O148" s="24" t="n">
        <v>0</v>
      </c>
      <c r="P148" s="24" t="n">
        <v>0</v>
      </c>
      <c r="Q148" s="24" t="n">
        <v>0</v>
      </c>
      <c r="R148" s="24" t="n">
        <v>0</v>
      </c>
      <c r="S148" s="24" t="n">
        <v>0</v>
      </c>
      <c r="T148" s="24" t="n">
        <v>0</v>
      </c>
      <c r="U148" s="24" t="n">
        <v>0</v>
      </c>
      <c r="V148" s="24" t="n">
        <v>115283</v>
      </c>
      <c r="W148" s="24" t="n">
        <f aca="false">N148+U148</f>
        <v>0</v>
      </c>
      <c r="X148" s="32" t="n">
        <f aca="false">IF(V148&gt;0,W148/V148,0)</f>
        <v>0</v>
      </c>
      <c r="Y148" s="9" t="s">
        <v>248</v>
      </c>
    </row>
    <row r="149" customFormat="false" ht="15" hidden="false" customHeight="false" outlineLevel="0" collapsed="false">
      <c r="A149" s="25" t="n">
        <v>2022</v>
      </c>
      <c r="B149" s="9" t="s">
        <v>266</v>
      </c>
      <c r="C149" s="9" t="s">
        <v>159</v>
      </c>
      <c r="D149" s="9" t="str">
        <f aca="false">INDEX(Lookups!$C$5:$C$75,MATCH($C149,Lookups!$A$5:$A$75,0))</f>
        <v>Latin America &amp; Caribbean</v>
      </c>
      <c r="E149" s="9" t="str">
        <f aca="false">INDEX(Lookups!$D$5:$D$75,MATCH($C149,Lookups!$A$5:$A$75,0))</f>
        <v>Andean region</v>
      </c>
      <c r="F149" s="9" t="str">
        <f aca="false">IF($D149="Latin America &amp; Caribbean","Yes","No")</f>
        <v>Yes</v>
      </c>
      <c r="G149" s="9" t="str">
        <f aca="false">IF($C149="VEN","In-country record","Abroad")</f>
        <v>Abroad</v>
      </c>
      <c r="H149" s="24" t="n">
        <v>109</v>
      </c>
      <c r="I149" s="24" t="n">
        <v>517</v>
      </c>
      <c r="J149" s="24" t="n">
        <v>351</v>
      </c>
      <c r="K149" s="24" t="n">
        <v>2309</v>
      </c>
      <c r="L149" s="24" t="n">
        <v>87</v>
      </c>
      <c r="M149" s="24" t="n">
        <v>267020</v>
      </c>
      <c r="N149" s="24" t="n">
        <v>270393</v>
      </c>
      <c r="O149" s="24" t="n">
        <v>110</v>
      </c>
      <c r="P149" s="24" t="n">
        <v>533</v>
      </c>
      <c r="Q149" s="24" t="n">
        <v>385</v>
      </c>
      <c r="R149" s="24" t="n">
        <v>2444</v>
      </c>
      <c r="S149" s="24" t="n">
        <v>65</v>
      </c>
      <c r="T149" s="24" t="n">
        <v>228284</v>
      </c>
      <c r="U149" s="24" t="n">
        <v>231821</v>
      </c>
      <c r="V149" s="24" t="n">
        <v>502214</v>
      </c>
      <c r="W149" s="24" t="n">
        <f aca="false">N149+U149</f>
        <v>502214</v>
      </c>
      <c r="X149" s="32" t="n">
        <f aca="false">IF(V149&gt;0,W149/V149,0)</f>
        <v>1</v>
      </c>
      <c r="Y149" s="9"/>
    </row>
    <row r="150" customFormat="false" ht="15" hidden="false" customHeight="false" outlineLevel="0" collapsed="false">
      <c r="A150" s="25" t="n">
        <v>2022</v>
      </c>
      <c r="B150" s="9" t="s">
        <v>267</v>
      </c>
      <c r="C150" s="9" t="s">
        <v>197</v>
      </c>
      <c r="D150" s="9" t="str">
        <f aca="false">INDEX(Lookups!$C$5:$C$75,MATCH($C150,Lookups!$A$5:$A$75,0))</f>
        <v>Latin America &amp; Caribbean</v>
      </c>
      <c r="E150" s="9" t="str">
        <f aca="false">INDEX(Lookups!$D$5:$D$75,MATCH($C150,Lookups!$A$5:$A$75,0))</f>
        <v>Central America &amp; Mexico</v>
      </c>
      <c r="F150" s="9" t="str">
        <f aca="false">IF($D150="Latin America &amp; Caribbean","Yes","No")</f>
        <v>Yes</v>
      </c>
      <c r="G150" s="9" t="str">
        <f aca="false">IF($C150="VEN","In-country record","Abroad")</f>
        <v>Abroad</v>
      </c>
      <c r="H150" s="24" t="n">
        <v>0</v>
      </c>
      <c r="I150" s="24" t="n">
        <v>0</v>
      </c>
      <c r="J150" s="24" t="n">
        <v>5</v>
      </c>
      <c r="K150" s="24" t="n">
        <v>0</v>
      </c>
      <c r="L150" s="24" t="n">
        <v>0</v>
      </c>
      <c r="M150" s="24" t="n">
        <v>0</v>
      </c>
      <c r="N150" s="24" t="n">
        <v>5</v>
      </c>
      <c r="O150" s="24" t="n">
        <v>0</v>
      </c>
      <c r="P150" s="24" t="n">
        <v>0</v>
      </c>
      <c r="Q150" s="24" t="n">
        <v>0</v>
      </c>
      <c r="R150" s="24" t="n">
        <v>13</v>
      </c>
      <c r="S150" s="24" t="n">
        <v>0</v>
      </c>
      <c r="T150" s="24" t="n">
        <v>0</v>
      </c>
      <c r="U150" s="24" t="n">
        <v>13</v>
      </c>
      <c r="V150" s="24" t="n">
        <v>18</v>
      </c>
      <c r="W150" s="24" t="n">
        <f aca="false">N150+U150</f>
        <v>18</v>
      </c>
      <c r="X150" s="32" t="n">
        <f aca="false">IF(V150&gt;0,W150/V150,0)</f>
        <v>1</v>
      </c>
      <c r="Y150" s="9"/>
    </row>
    <row r="151" customFormat="false" ht="15" hidden="false" customHeight="false" outlineLevel="0" collapsed="false">
      <c r="A151" s="25" t="n">
        <v>2022</v>
      </c>
      <c r="B151" s="9" t="s">
        <v>268</v>
      </c>
      <c r="C151" s="9" t="s">
        <v>198</v>
      </c>
      <c r="D151" s="9" t="str">
        <f aca="false">INDEX(Lookups!$C$5:$C$75,MATCH($C151,Lookups!$A$5:$A$75,0))</f>
        <v>Europe</v>
      </c>
      <c r="E151" s="9" t="str">
        <f aca="false">INDEX(Lookups!$D$5:$D$75,MATCH($C151,Lookups!$A$5:$A$75,0))</f>
        <v>Europe</v>
      </c>
      <c r="F151" s="9" t="str">
        <f aca="false">IF($D151="Latin America &amp; Caribbean","Yes","No")</f>
        <v>No</v>
      </c>
      <c r="G151" s="9" t="str">
        <f aca="false">IF($C151="VEN","In-country record","Abroad")</f>
        <v>Abroad</v>
      </c>
      <c r="H151" s="24" t="n">
        <v>0</v>
      </c>
      <c r="I151" s="24" t="n">
        <v>0</v>
      </c>
      <c r="J151" s="24" t="n">
        <v>0</v>
      </c>
      <c r="K151" s="24" t="n">
        <v>0</v>
      </c>
      <c r="L151" s="24" t="n">
        <v>0</v>
      </c>
      <c r="M151" s="24" t="n">
        <v>12</v>
      </c>
      <c r="N151" s="24" t="n">
        <v>12</v>
      </c>
      <c r="O151" s="24" t="n">
        <v>0</v>
      </c>
      <c r="P151" s="24" t="n">
        <v>0</v>
      </c>
      <c r="Q151" s="24" t="n">
        <v>0</v>
      </c>
      <c r="R151" s="24" t="n">
        <v>0</v>
      </c>
      <c r="S151" s="24" t="n">
        <v>0</v>
      </c>
      <c r="T151" s="24" t="n">
        <v>5</v>
      </c>
      <c r="U151" s="24" t="n">
        <v>5</v>
      </c>
      <c r="V151" s="24" t="n">
        <v>22</v>
      </c>
      <c r="W151" s="24" t="n">
        <f aca="false">N151+U151</f>
        <v>17</v>
      </c>
      <c r="X151" s="32" t="n">
        <f aca="false">IF(V151&gt;0,W151/V151,0)</f>
        <v>0.772727272727273</v>
      </c>
      <c r="Y151" s="9"/>
    </row>
    <row r="152" customFormat="false" ht="15" hidden="false" customHeight="false" outlineLevel="0" collapsed="false">
      <c r="A152" s="25" t="n">
        <v>2022</v>
      </c>
      <c r="B152" s="9" t="s">
        <v>269</v>
      </c>
      <c r="C152" s="9" t="s">
        <v>179</v>
      </c>
      <c r="D152" s="9" t="str">
        <f aca="false">INDEX(Lookups!$C$5:$C$75,MATCH($C152,Lookups!$A$5:$A$75,0))</f>
        <v>Europe</v>
      </c>
      <c r="E152" s="9" t="str">
        <f aca="false">INDEX(Lookups!$D$5:$D$75,MATCH($C152,Lookups!$A$5:$A$75,0))</f>
        <v>Europe</v>
      </c>
      <c r="F152" s="9" t="str">
        <f aca="false">IF($D152="Latin America &amp; Caribbean","Yes","No")</f>
        <v>No</v>
      </c>
      <c r="G152" s="9" t="str">
        <f aca="false">IF($C152="VEN","In-country record","Abroad")</f>
        <v>Abroad</v>
      </c>
      <c r="H152" s="24" t="n">
        <v>0</v>
      </c>
      <c r="I152" s="24" t="n">
        <v>0</v>
      </c>
      <c r="J152" s="24" t="n">
        <v>0</v>
      </c>
      <c r="K152" s="24" t="n">
        <v>0</v>
      </c>
      <c r="L152" s="24" t="n">
        <v>0</v>
      </c>
      <c r="M152" s="24" t="n">
        <v>893</v>
      </c>
      <c r="N152" s="24" t="n">
        <v>893</v>
      </c>
      <c r="O152" s="24" t="n">
        <v>0</v>
      </c>
      <c r="P152" s="24" t="n">
        <v>0</v>
      </c>
      <c r="Q152" s="24" t="n">
        <v>0</v>
      </c>
      <c r="R152" s="24" t="n">
        <v>0</v>
      </c>
      <c r="S152" s="24" t="n">
        <v>0</v>
      </c>
      <c r="T152" s="24" t="n">
        <v>788</v>
      </c>
      <c r="U152" s="24" t="n">
        <v>788</v>
      </c>
      <c r="V152" s="24" t="n">
        <v>2192</v>
      </c>
      <c r="W152" s="24" t="n">
        <f aca="false">N152+U152</f>
        <v>1681</v>
      </c>
      <c r="X152" s="32" t="n">
        <f aca="false">IF(V152&gt;0,W152/V152,0)</f>
        <v>0.766879562043796</v>
      </c>
      <c r="Y152" s="9"/>
    </row>
    <row r="153" customFormat="false" ht="15" hidden="false" customHeight="false" outlineLevel="0" collapsed="false">
      <c r="A153" s="25" t="n">
        <v>2022</v>
      </c>
      <c r="B153" s="9" t="s">
        <v>270</v>
      </c>
      <c r="C153" s="9" t="s">
        <v>175</v>
      </c>
      <c r="D153" s="9" t="str">
        <f aca="false">INDEX(Lookups!$C$5:$C$75,MATCH($C153,Lookups!$A$5:$A$75,0))</f>
        <v>Europe</v>
      </c>
      <c r="E153" s="9" t="str">
        <f aca="false">INDEX(Lookups!$D$5:$D$75,MATCH($C153,Lookups!$A$5:$A$75,0))</f>
        <v>Europe</v>
      </c>
      <c r="F153" s="9" t="str">
        <f aca="false">IF($D153="Latin America &amp; Caribbean","Yes","No")</f>
        <v>No</v>
      </c>
      <c r="G153" s="9" t="str">
        <f aca="false">IF($C153="VEN","In-country record","Abroad")</f>
        <v>Abroad</v>
      </c>
      <c r="H153" s="24" t="n">
        <v>77</v>
      </c>
      <c r="I153" s="24" t="n">
        <v>151</v>
      </c>
      <c r="J153" s="24" t="n">
        <v>111</v>
      </c>
      <c r="K153" s="24" t="n">
        <v>1030</v>
      </c>
      <c r="L153" s="24" t="n">
        <v>146</v>
      </c>
      <c r="M153" s="24" t="n">
        <v>0</v>
      </c>
      <c r="N153" s="24" t="n">
        <v>1515</v>
      </c>
      <c r="O153" s="24" t="n">
        <v>74</v>
      </c>
      <c r="P153" s="24" t="n">
        <v>170</v>
      </c>
      <c r="Q153" s="24" t="n">
        <v>116</v>
      </c>
      <c r="R153" s="24" t="n">
        <v>1229</v>
      </c>
      <c r="S153" s="24" t="n">
        <v>69</v>
      </c>
      <c r="T153" s="24" t="n">
        <v>0</v>
      </c>
      <c r="U153" s="24" t="n">
        <v>1658</v>
      </c>
      <c r="V153" s="24" t="n">
        <v>3173</v>
      </c>
      <c r="W153" s="24" t="n">
        <f aca="false">N153+U153</f>
        <v>3173</v>
      </c>
      <c r="X153" s="32" t="n">
        <f aca="false">IF(V153&gt;0,W153/V153,0)</f>
        <v>1</v>
      </c>
      <c r="Y153" s="9"/>
    </row>
    <row r="154" customFormat="false" ht="15" hidden="false" customHeight="false" outlineLevel="0" collapsed="false">
      <c r="A154" s="25" t="n">
        <v>2022</v>
      </c>
      <c r="B154" s="9" t="s">
        <v>271</v>
      </c>
      <c r="C154" s="9" t="s">
        <v>199</v>
      </c>
      <c r="D154" s="9" t="str">
        <f aca="false">INDEX(Lookups!$C$5:$C$75,MATCH($C154,Lookups!$A$5:$A$75,0))</f>
        <v>Europe</v>
      </c>
      <c r="E154" s="9" t="str">
        <f aca="false">INDEX(Lookups!$D$5:$D$75,MATCH($C154,Lookups!$A$5:$A$75,0))</f>
        <v>Europe</v>
      </c>
      <c r="F154" s="9" t="str">
        <f aca="false">IF($D154="Latin America &amp; Caribbean","Yes","No")</f>
        <v>No</v>
      </c>
      <c r="G154" s="9" t="str">
        <f aca="false">IF($C154="VEN","In-country record","Abroad")</f>
        <v>Abroad</v>
      </c>
      <c r="H154" s="24" t="n">
        <v>0</v>
      </c>
      <c r="I154" s="24" t="n">
        <v>0</v>
      </c>
      <c r="J154" s="24" t="n">
        <v>0</v>
      </c>
      <c r="K154" s="24" t="n">
        <v>0</v>
      </c>
      <c r="L154" s="24" t="n">
        <v>0</v>
      </c>
      <c r="M154" s="24" t="n">
        <v>0</v>
      </c>
      <c r="N154" s="24" t="n">
        <v>0</v>
      </c>
      <c r="O154" s="24" t="n">
        <v>0</v>
      </c>
      <c r="P154" s="24" t="n">
        <v>0</v>
      </c>
      <c r="Q154" s="24" t="n">
        <v>0</v>
      </c>
      <c r="R154" s="24" t="n">
        <v>0</v>
      </c>
      <c r="S154" s="24" t="n">
        <v>0</v>
      </c>
      <c r="T154" s="24" t="n">
        <v>0</v>
      </c>
      <c r="U154" s="24" t="n">
        <v>0</v>
      </c>
      <c r="V154" s="24" t="n">
        <v>15</v>
      </c>
      <c r="W154" s="24" t="n">
        <f aca="false">N154+U154</f>
        <v>0</v>
      </c>
      <c r="X154" s="32" t="n">
        <f aca="false">IF(V154&gt;0,W154/V154,0)</f>
        <v>0</v>
      </c>
      <c r="Y154" s="9"/>
    </row>
    <row r="155" customFormat="false" ht="15" hidden="false" customHeight="false" outlineLevel="0" collapsed="false">
      <c r="A155" s="25" t="n">
        <v>2022</v>
      </c>
      <c r="B155" s="9" t="s">
        <v>272</v>
      </c>
      <c r="C155" s="9" t="s">
        <v>218</v>
      </c>
      <c r="D155" s="9" t="str">
        <f aca="false">INDEX(Lookups!$C$5:$C$75,MATCH($C155,Lookups!$A$5:$A$75,0))</f>
        <v>Latin America &amp; Caribbean</v>
      </c>
      <c r="E155" s="9" t="str">
        <f aca="false">INDEX(Lookups!$D$5:$D$75,MATCH($C155,Lookups!$A$5:$A$75,0))</f>
        <v>Caribbean &amp; Guianas</v>
      </c>
      <c r="F155" s="9" t="str">
        <f aca="false">IF($D155="Latin America &amp; Caribbean","Yes","No")</f>
        <v>Yes</v>
      </c>
      <c r="G155" s="9" t="str">
        <f aca="false">IF($C155="VEN","In-country record","Abroad")</f>
        <v>Abroad</v>
      </c>
      <c r="H155" s="24" t="n">
        <v>0</v>
      </c>
      <c r="I155" s="24" t="n">
        <v>0</v>
      </c>
      <c r="J155" s="24" t="n">
        <v>0</v>
      </c>
      <c r="K155" s="24" t="n">
        <v>0</v>
      </c>
      <c r="L155" s="24" t="n">
        <v>0</v>
      </c>
      <c r="M155" s="24" t="n">
        <v>0</v>
      </c>
      <c r="N155" s="24" t="n">
        <v>0</v>
      </c>
      <c r="O155" s="24" t="n">
        <v>0</v>
      </c>
      <c r="P155" s="24" t="n">
        <v>0</v>
      </c>
      <c r="Q155" s="24" t="n">
        <v>0</v>
      </c>
      <c r="R155" s="24" t="n">
        <v>0</v>
      </c>
      <c r="S155" s="24" t="n">
        <v>0</v>
      </c>
      <c r="T155" s="24" t="n">
        <v>0</v>
      </c>
      <c r="U155" s="24" t="n">
        <v>0</v>
      </c>
      <c r="V155" s="24" t="n">
        <v>234</v>
      </c>
      <c r="W155" s="24" t="n">
        <f aca="false">N155+U155</f>
        <v>0</v>
      </c>
      <c r="X155" s="32" t="n">
        <f aca="false">IF(V155&gt;0,W155/V155,0)</f>
        <v>0</v>
      </c>
      <c r="Y155" s="9"/>
    </row>
    <row r="156" customFormat="false" ht="15" hidden="false" customHeight="false" outlineLevel="0" collapsed="false">
      <c r="A156" s="25" t="n">
        <v>2022</v>
      </c>
      <c r="B156" s="9" t="s">
        <v>273</v>
      </c>
      <c r="C156" s="9" t="s">
        <v>172</v>
      </c>
      <c r="D156" s="9" t="str">
        <f aca="false">INDEX(Lookups!$C$5:$C$75,MATCH($C156,Lookups!$A$5:$A$75,0))</f>
        <v>Latin America &amp; Caribbean</v>
      </c>
      <c r="E156" s="9" t="str">
        <f aca="false">INDEX(Lookups!$D$5:$D$75,MATCH($C156,Lookups!$A$5:$A$75,0))</f>
        <v>Central America &amp; Mexico</v>
      </c>
      <c r="F156" s="9" t="str">
        <f aca="false">IF($D156="Latin America &amp; Caribbean","Yes","No")</f>
        <v>Yes</v>
      </c>
      <c r="G156" s="9" t="str">
        <f aca="false">IF($C156="VEN","In-country record","Abroad")</f>
        <v>Abroad</v>
      </c>
      <c r="H156" s="24" t="n">
        <v>166</v>
      </c>
      <c r="I156" s="24" t="n">
        <v>178</v>
      </c>
      <c r="J156" s="24" t="n">
        <v>1112</v>
      </c>
      <c r="K156" s="24" t="n">
        <v>3636</v>
      </c>
      <c r="L156" s="24" t="n">
        <v>10</v>
      </c>
      <c r="M156" s="24" t="n">
        <v>0</v>
      </c>
      <c r="N156" s="24" t="n">
        <v>5102</v>
      </c>
      <c r="O156" s="24" t="n">
        <v>213</v>
      </c>
      <c r="P156" s="24" t="n">
        <v>238</v>
      </c>
      <c r="Q156" s="24" t="n">
        <v>1467</v>
      </c>
      <c r="R156" s="24" t="n">
        <v>4810</v>
      </c>
      <c r="S156" s="24" t="n">
        <v>5</v>
      </c>
      <c r="T156" s="24" t="n">
        <v>0</v>
      </c>
      <c r="U156" s="24" t="n">
        <v>6733</v>
      </c>
      <c r="V156" s="24" t="n">
        <v>11835</v>
      </c>
      <c r="W156" s="24" t="n">
        <f aca="false">N156+U156</f>
        <v>11835</v>
      </c>
      <c r="X156" s="32" t="n">
        <f aca="false">IF(V156&gt;0,W156/V156,0)</f>
        <v>1</v>
      </c>
      <c r="Y156" s="9" t="s">
        <v>319</v>
      </c>
    </row>
    <row r="157" customFormat="false" ht="15" hidden="false" customHeight="false" outlineLevel="0" collapsed="false">
      <c r="A157" s="25" t="n">
        <v>2022</v>
      </c>
      <c r="B157" s="9" t="s">
        <v>274</v>
      </c>
      <c r="C157" s="9" t="s">
        <v>169</v>
      </c>
      <c r="D157" s="9" t="str">
        <f aca="false">INDEX(Lookups!$C$5:$C$75,MATCH($C157,Lookups!$A$5:$A$75,0))</f>
        <v>Latin America &amp; Caribbean</v>
      </c>
      <c r="E157" s="9" t="str">
        <f aca="false">INDEX(Lookups!$D$5:$D$75,MATCH($C157,Lookups!$A$5:$A$75,0))</f>
        <v>Caribbean &amp; Guianas</v>
      </c>
      <c r="F157" s="9" t="str">
        <f aca="false">IF($D157="Latin America &amp; Caribbean","Yes","No")</f>
        <v>Yes</v>
      </c>
      <c r="G157" s="9" t="str">
        <f aca="false">IF($C157="VEN","In-country record","Abroad")</f>
        <v>Abroad</v>
      </c>
      <c r="H157" s="24" t="n">
        <v>0</v>
      </c>
      <c r="I157" s="24" t="n">
        <v>0</v>
      </c>
      <c r="J157" s="24" t="n">
        <v>0</v>
      </c>
      <c r="K157" s="24" t="n">
        <v>0</v>
      </c>
      <c r="L157" s="24" t="n">
        <v>0</v>
      </c>
      <c r="M157" s="24" t="n">
        <v>0</v>
      </c>
      <c r="N157" s="24" t="n">
        <v>0</v>
      </c>
      <c r="O157" s="24" t="n">
        <v>0</v>
      </c>
      <c r="P157" s="24" t="n">
        <v>0</v>
      </c>
      <c r="Q157" s="24" t="n">
        <v>0</v>
      </c>
      <c r="R157" s="24" t="n">
        <v>0</v>
      </c>
      <c r="S157" s="24" t="n">
        <v>0</v>
      </c>
      <c r="T157" s="24" t="n">
        <v>0</v>
      </c>
      <c r="U157" s="24" t="n">
        <v>0</v>
      </c>
      <c r="V157" s="24" t="n">
        <v>19642</v>
      </c>
      <c r="W157" s="24" t="n">
        <f aca="false">N157+U157</f>
        <v>0</v>
      </c>
      <c r="X157" s="32" t="n">
        <f aca="false">IF(V157&gt;0,W157/V157,0)</f>
        <v>0</v>
      </c>
      <c r="Y157" s="9" t="s">
        <v>248</v>
      </c>
    </row>
    <row r="158" customFormat="false" ht="15" hidden="false" customHeight="false" outlineLevel="0" collapsed="false">
      <c r="A158" s="25" t="n">
        <v>2022</v>
      </c>
      <c r="B158" s="9" t="s">
        <v>275</v>
      </c>
      <c r="C158" s="9" t="s">
        <v>170</v>
      </c>
      <c r="D158" s="9" t="str">
        <f aca="false">INDEX(Lookups!$C$5:$C$75,MATCH($C158,Lookups!$A$5:$A$75,0))</f>
        <v>Latin America &amp; Caribbean</v>
      </c>
      <c r="E158" s="9" t="str">
        <f aca="false">INDEX(Lookups!$D$5:$D$75,MATCH($C158,Lookups!$A$5:$A$75,0))</f>
        <v>Central America &amp; Mexico</v>
      </c>
      <c r="F158" s="9" t="str">
        <f aca="false">IF($D158="Latin America &amp; Caribbean","Yes","No")</f>
        <v>Yes</v>
      </c>
      <c r="G158" s="9" t="str">
        <f aca="false">IF($C158="VEN","In-country record","Abroad")</f>
        <v>Abroad</v>
      </c>
      <c r="H158" s="24" t="n">
        <v>0</v>
      </c>
      <c r="I158" s="24" t="n">
        <v>0</v>
      </c>
      <c r="J158" s="24" t="n">
        <v>0</v>
      </c>
      <c r="K158" s="24" t="n">
        <v>14</v>
      </c>
      <c r="L158" s="24" t="n">
        <v>0</v>
      </c>
      <c r="M158" s="24" t="n">
        <v>0</v>
      </c>
      <c r="N158" s="24" t="n">
        <v>14</v>
      </c>
      <c r="O158" s="24" t="n">
        <v>0</v>
      </c>
      <c r="P158" s="24" t="n">
        <v>0</v>
      </c>
      <c r="Q158" s="24" t="n">
        <v>5</v>
      </c>
      <c r="R158" s="24" t="n">
        <v>19</v>
      </c>
      <c r="S158" s="24" t="n">
        <v>0</v>
      </c>
      <c r="T158" s="24" t="n">
        <v>0</v>
      </c>
      <c r="U158" s="24" t="n">
        <v>24</v>
      </c>
      <c r="V158" s="24" t="n">
        <v>55097</v>
      </c>
      <c r="W158" s="24" t="n">
        <f aca="false">N158+U158</f>
        <v>38</v>
      </c>
      <c r="X158" s="32" t="n">
        <f aca="false">IF(V158&gt;0,W158/V158,0)</f>
        <v>0.000689692723741765</v>
      </c>
      <c r="Y158" s="9" t="s">
        <v>320</v>
      </c>
    </row>
    <row r="159" customFormat="false" ht="15" hidden="false" customHeight="false" outlineLevel="0" collapsed="false">
      <c r="A159" s="25" t="n">
        <v>2022</v>
      </c>
      <c r="B159" s="9" t="s">
        <v>276</v>
      </c>
      <c r="C159" s="9" t="s">
        <v>180</v>
      </c>
      <c r="D159" s="9" t="str">
        <f aca="false">INDEX(Lookups!$C$5:$C$75,MATCH($C159,Lookups!$A$5:$A$75,0))</f>
        <v>Europe</v>
      </c>
      <c r="E159" s="9" t="str">
        <f aca="false">INDEX(Lookups!$D$5:$D$75,MATCH($C159,Lookups!$A$5:$A$75,0))</f>
        <v>Europe</v>
      </c>
      <c r="F159" s="9" t="str">
        <f aca="false">IF($D159="Latin America &amp; Caribbean","Yes","No")</f>
        <v>No</v>
      </c>
      <c r="G159" s="9" t="str">
        <f aca="false">IF($C159="VEN","In-country record","Abroad")</f>
        <v>Abroad</v>
      </c>
      <c r="H159" s="24" t="n">
        <v>0</v>
      </c>
      <c r="I159" s="24" t="n">
        <v>0</v>
      </c>
      <c r="J159" s="24" t="n">
        <v>0</v>
      </c>
      <c r="K159" s="24" t="n">
        <v>0</v>
      </c>
      <c r="L159" s="24" t="n">
        <v>0</v>
      </c>
      <c r="M159" s="24" t="n">
        <v>0</v>
      </c>
      <c r="N159" s="24" t="n">
        <v>0</v>
      </c>
      <c r="O159" s="24" t="n">
        <v>0</v>
      </c>
      <c r="P159" s="24" t="n">
        <v>0</v>
      </c>
      <c r="Q159" s="24" t="n">
        <v>0</v>
      </c>
      <c r="R159" s="24" t="n">
        <v>0</v>
      </c>
      <c r="S159" s="24" t="n">
        <v>0</v>
      </c>
      <c r="T159" s="24" t="n">
        <v>0</v>
      </c>
      <c r="U159" s="24" t="n">
        <v>0</v>
      </c>
      <c r="V159" s="24" t="n">
        <v>1768</v>
      </c>
      <c r="W159" s="24" t="n">
        <f aca="false">N159+U159</f>
        <v>0</v>
      </c>
      <c r="X159" s="32" t="n">
        <f aca="false">IF(V159&gt;0,W159/V159,0)</f>
        <v>0</v>
      </c>
      <c r="Y159" s="9" t="s">
        <v>248</v>
      </c>
    </row>
    <row r="160" customFormat="false" ht="15" hidden="false" customHeight="false" outlineLevel="0" collapsed="false">
      <c r="A160" s="25" t="n">
        <v>2022</v>
      </c>
      <c r="B160" s="9" t="s">
        <v>277</v>
      </c>
      <c r="C160" s="9" t="s">
        <v>202</v>
      </c>
      <c r="D160" s="9" t="str">
        <f aca="false">INDEX(Lookups!$C$5:$C$75,MATCH($C160,Lookups!$A$5:$A$75,0))</f>
        <v>Other regions</v>
      </c>
      <c r="E160" s="9" t="str">
        <f aca="false">INDEX(Lookups!$D$5:$D$75,MATCH($C160,Lookups!$A$5:$A$75,0))</f>
        <v>Rest of world</v>
      </c>
      <c r="F160" s="9" t="str">
        <f aca="false">IF($D160="Latin America &amp; Caribbean","Yes","No")</f>
        <v>No</v>
      </c>
      <c r="G160" s="9" t="str">
        <f aca="false">IF($C160="VEN","In-country record","Abroad")</f>
        <v>Abroad</v>
      </c>
      <c r="H160" s="24" t="n">
        <v>0</v>
      </c>
      <c r="I160" s="24" t="n">
        <v>0</v>
      </c>
      <c r="J160" s="24" t="n">
        <v>0</v>
      </c>
      <c r="K160" s="24" t="n">
        <v>11</v>
      </c>
      <c r="L160" s="24" t="n">
        <v>0</v>
      </c>
      <c r="M160" s="24" t="n">
        <v>0</v>
      </c>
      <c r="N160" s="24" t="n">
        <v>11</v>
      </c>
      <c r="O160" s="24" t="n">
        <v>0</v>
      </c>
      <c r="P160" s="24" t="n">
        <v>0</v>
      </c>
      <c r="Q160" s="24" t="n">
        <v>0</v>
      </c>
      <c r="R160" s="24" t="n">
        <v>0</v>
      </c>
      <c r="S160" s="24" t="n">
        <v>0</v>
      </c>
      <c r="T160" s="24" t="n">
        <v>0</v>
      </c>
      <c r="U160" s="24" t="n">
        <v>0</v>
      </c>
      <c r="V160" s="24" t="n">
        <v>11</v>
      </c>
      <c r="W160" s="24" t="n">
        <f aca="false">N160+U160</f>
        <v>11</v>
      </c>
      <c r="X160" s="32" t="n">
        <f aca="false">IF(V160&gt;0,W160/V160,0)</f>
        <v>1</v>
      </c>
      <c r="Y160" s="9"/>
    </row>
    <row r="161" customFormat="false" ht="15" hidden="false" customHeight="false" outlineLevel="0" collapsed="false">
      <c r="A161" s="25" t="n">
        <v>2022</v>
      </c>
      <c r="B161" s="9" t="s">
        <v>278</v>
      </c>
      <c r="C161" s="9" t="s">
        <v>220</v>
      </c>
      <c r="D161" s="9" t="str">
        <f aca="false">INDEX(Lookups!$C$5:$C$75,MATCH($C161,Lookups!$A$5:$A$75,0))</f>
        <v>Other regions</v>
      </c>
      <c r="E161" s="9" t="str">
        <f aca="false">INDEX(Lookups!$D$5:$D$75,MATCH($C161,Lookups!$A$5:$A$75,0))</f>
        <v>Rest of world</v>
      </c>
      <c r="F161" s="9" t="str">
        <f aca="false">IF($D161="Latin America &amp; Caribbean","Yes","No")</f>
        <v>No</v>
      </c>
      <c r="G161" s="9" t="str">
        <f aca="false">IF($C161="VEN","In-country record","Abroad")</f>
        <v>Abroad</v>
      </c>
      <c r="H161" s="24" t="n">
        <v>0</v>
      </c>
      <c r="I161" s="24" t="n">
        <v>0</v>
      </c>
      <c r="J161" s="24" t="n">
        <v>0</v>
      </c>
      <c r="K161" s="24" t="n">
        <v>0</v>
      </c>
      <c r="L161" s="24" t="n">
        <v>0</v>
      </c>
      <c r="M161" s="24" t="n">
        <v>0</v>
      </c>
      <c r="N161" s="24" t="n">
        <v>0</v>
      </c>
      <c r="O161" s="24" t="n">
        <v>0</v>
      </c>
      <c r="P161" s="24" t="n">
        <v>0</v>
      </c>
      <c r="Q161" s="24" t="n">
        <v>0</v>
      </c>
      <c r="R161" s="24" t="n">
        <v>5</v>
      </c>
      <c r="S161" s="24" t="n">
        <v>0</v>
      </c>
      <c r="T161" s="24" t="n">
        <v>0</v>
      </c>
      <c r="U161" s="24" t="n">
        <v>5</v>
      </c>
      <c r="V161" s="24" t="n">
        <v>5</v>
      </c>
      <c r="W161" s="24" t="n">
        <f aca="false">N161+U161</f>
        <v>5</v>
      </c>
      <c r="X161" s="32" t="n">
        <f aca="false">IF(V161&gt;0,W161/V161,0)</f>
        <v>1</v>
      </c>
      <c r="Y161" s="9"/>
    </row>
    <row r="162" customFormat="false" ht="15" hidden="false" customHeight="false" outlineLevel="0" collapsed="false">
      <c r="A162" s="25" t="n">
        <v>2022</v>
      </c>
      <c r="B162" s="9" t="s">
        <v>279</v>
      </c>
      <c r="C162" s="9" t="s">
        <v>190</v>
      </c>
      <c r="D162" s="9" t="str">
        <f aca="false">INDEX(Lookups!$C$5:$C$75,MATCH($C162,Lookups!$A$5:$A$75,0))</f>
        <v>Europe</v>
      </c>
      <c r="E162" s="9" t="str">
        <f aca="false">INDEX(Lookups!$D$5:$D$75,MATCH($C162,Lookups!$A$5:$A$75,0))</f>
        <v>Europe</v>
      </c>
      <c r="F162" s="9" t="str">
        <f aca="false">IF($D162="Latin America &amp; Caribbean","Yes","No")</f>
        <v>No</v>
      </c>
      <c r="G162" s="9" t="str">
        <f aca="false">IF($C162="VEN","In-country record","Abroad")</f>
        <v>Abroad</v>
      </c>
      <c r="H162" s="24" t="n">
        <v>0</v>
      </c>
      <c r="I162" s="24" t="n">
        <v>5</v>
      </c>
      <c r="J162" s="24" t="n">
        <v>5</v>
      </c>
      <c r="K162" s="24" t="n">
        <v>71</v>
      </c>
      <c r="L162" s="24" t="n">
        <v>18</v>
      </c>
      <c r="M162" s="24" t="n">
        <v>0</v>
      </c>
      <c r="N162" s="24" t="n">
        <v>99</v>
      </c>
      <c r="O162" s="24" t="n">
        <v>5</v>
      </c>
      <c r="P162" s="24" t="n">
        <v>0</v>
      </c>
      <c r="Q162" s="24" t="n">
        <v>5</v>
      </c>
      <c r="R162" s="24" t="n">
        <v>96</v>
      </c>
      <c r="S162" s="24" t="n">
        <v>5</v>
      </c>
      <c r="T162" s="24" t="n">
        <v>0</v>
      </c>
      <c r="U162" s="24" t="n">
        <v>111</v>
      </c>
      <c r="V162" s="24" t="n">
        <v>210</v>
      </c>
      <c r="W162" s="24" t="n">
        <f aca="false">N162+U162</f>
        <v>210</v>
      </c>
      <c r="X162" s="32" t="n">
        <f aca="false">IF(V162&gt;0,W162/V162,0)</f>
        <v>1</v>
      </c>
      <c r="Y162" s="9"/>
    </row>
    <row r="163" customFormat="false" ht="15" hidden="false" customHeight="false" outlineLevel="0" collapsed="false">
      <c r="A163" s="25" t="n">
        <v>2022</v>
      </c>
      <c r="B163" s="9" t="s">
        <v>281</v>
      </c>
      <c r="C163" s="9" t="s">
        <v>174</v>
      </c>
      <c r="D163" s="9" t="str">
        <f aca="false">INDEX(Lookups!$C$5:$C$75,MATCH($C163,Lookups!$A$5:$A$75,0))</f>
        <v>Europe</v>
      </c>
      <c r="E163" s="9" t="str">
        <f aca="false">INDEX(Lookups!$D$5:$D$75,MATCH($C163,Lookups!$A$5:$A$75,0))</f>
        <v>Europe</v>
      </c>
      <c r="F163" s="9" t="str">
        <f aca="false">IF($D163="Latin America &amp; Caribbean","Yes","No")</f>
        <v>No</v>
      </c>
      <c r="G163" s="9" t="str">
        <f aca="false">IF($C163="VEN","In-country record","Abroad")</f>
        <v>Abroad</v>
      </c>
      <c r="H163" s="24" t="n">
        <v>0</v>
      </c>
      <c r="I163" s="24" t="n">
        <v>0</v>
      </c>
      <c r="J163" s="24" t="n">
        <v>0</v>
      </c>
      <c r="K163" s="24" t="n">
        <v>0</v>
      </c>
      <c r="L163" s="24" t="n">
        <v>0</v>
      </c>
      <c r="M163" s="24" t="n">
        <v>605</v>
      </c>
      <c r="N163" s="24" t="n">
        <v>605</v>
      </c>
      <c r="O163" s="24" t="n">
        <v>0</v>
      </c>
      <c r="P163" s="24" t="n">
        <v>0</v>
      </c>
      <c r="Q163" s="24" t="n">
        <v>0</v>
      </c>
      <c r="R163" s="24" t="n">
        <v>0</v>
      </c>
      <c r="S163" s="24" t="n">
        <v>0</v>
      </c>
      <c r="T163" s="24" t="n">
        <v>479</v>
      </c>
      <c r="U163" s="24" t="n">
        <v>479</v>
      </c>
      <c r="V163" s="24" t="n">
        <v>4510</v>
      </c>
      <c r="W163" s="24" t="n">
        <f aca="false">N163+U163</f>
        <v>1084</v>
      </c>
      <c r="X163" s="32" t="n">
        <f aca="false">IF(V163&gt;0,W163/V163,0)</f>
        <v>0.240354767184035</v>
      </c>
      <c r="Y163" s="9" t="s">
        <v>248</v>
      </c>
    </row>
    <row r="164" customFormat="false" ht="15" hidden="false" customHeight="false" outlineLevel="0" collapsed="false">
      <c r="A164" s="25" t="n">
        <v>2022</v>
      </c>
      <c r="B164" s="9" t="s">
        <v>282</v>
      </c>
      <c r="C164" s="9" t="s">
        <v>217</v>
      </c>
      <c r="D164" s="9" t="str">
        <f aca="false">INDEX(Lookups!$C$5:$C$75,MATCH($C164,Lookups!$A$5:$A$75,0))</f>
        <v>Latin America &amp; Caribbean</v>
      </c>
      <c r="E164" s="9" t="str">
        <f aca="false">INDEX(Lookups!$D$5:$D$75,MATCH($C164,Lookups!$A$5:$A$75,0))</f>
        <v>Caribbean &amp; Guianas</v>
      </c>
      <c r="F164" s="9" t="str">
        <f aca="false">IF($D164="Latin America &amp; Caribbean","Yes","No")</f>
        <v>Yes</v>
      </c>
      <c r="G164" s="9" t="str">
        <f aca="false">IF($C164="VEN","In-country record","Abroad")</f>
        <v>Abroad</v>
      </c>
      <c r="H164" s="24" t="n">
        <v>0</v>
      </c>
      <c r="I164" s="24" t="n">
        <v>0</v>
      </c>
      <c r="J164" s="24" t="n">
        <v>0</v>
      </c>
      <c r="K164" s="24" t="n">
        <v>0</v>
      </c>
      <c r="L164" s="24" t="n">
        <v>0</v>
      </c>
      <c r="M164" s="24" t="n">
        <v>0</v>
      </c>
      <c r="N164" s="24" t="n">
        <v>0</v>
      </c>
      <c r="O164" s="24" t="n">
        <v>0</v>
      </c>
      <c r="P164" s="24" t="n">
        <v>0</v>
      </c>
      <c r="Q164" s="24" t="n">
        <v>0</v>
      </c>
      <c r="R164" s="24" t="n">
        <v>0</v>
      </c>
      <c r="S164" s="24" t="n">
        <v>0</v>
      </c>
      <c r="T164" s="24" t="n">
        <v>0</v>
      </c>
      <c r="U164" s="24" t="n">
        <v>0</v>
      </c>
      <c r="V164" s="24" t="n">
        <v>67</v>
      </c>
      <c r="W164" s="24" t="n">
        <f aca="false">N164+U164</f>
        <v>0</v>
      </c>
      <c r="X164" s="32" t="n">
        <f aca="false">IF(V164&gt;0,W164/V164,0)</f>
        <v>0</v>
      </c>
      <c r="Y164" s="9"/>
    </row>
    <row r="165" customFormat="false" ht="15" hidden="false" customHeight="false" outlineLevel="0" collapsed="false">
      <c r="A165" s="25" t="n">
        <v>2022</v>
      </c>
      <c r="B165" s="9" t="s">
        <v>283</v>
      </c>
      <c r="C165" s="9" t="s">
        <v>221</v>
      </c>
      <c r="D165" s="9" t="str">
        <f aca="false">INDEX(Lookups!$C$5:$C$75,MATCH($C165,Lookups!$A$5:$A$75,0))</f>
        <v>Other regions</v>
      </c>
      <c r="E165" s="9" t="str">
        <f aca="false">INDEX(Lookups!$D$5:$D$75,MATCH($C165,Lookups!$A$5:$A$75,0))</f>
        <v>Rest of world</v>
      </c>
      <c r="F165" s="9" t="str">
        <f aca="false">IF($D165="Latin America &amp; Caribbean","Yes","No")</f>
        <v>No</v>
      </c>
      <c r="G165" s="9" t="str">
        <f aca="false">IF($C165="VEN","In-country record","Abroad")</f>
        <v>Abroad</v>
      </c>
      <c r="H165" s="24" t="n">
        <v>0</v>
      </c>
      <c r="I165" s="24" t="n">
        <v>0</v>
      </c>
      <c r="J165" s="24" t="n">
        <v>0</v>
      </c>
      <c r="K165" s="24" t="n">
        <v>0</v>
      </c>
      <c r="L165" s="24" t="n">
        <v>0</v>
      </c>
      <c r="M165" s="24" t="n">
        <v>0</v>
      </c>
      <c r="N165" s="24" t="n">
        <v>0</v>
      </c>
      <c r="O165" s="24" t="n">
        <v>0</v>
      </c>
      <c r="P165" s="24" t="n">
        <v>0</v>
      </c>
      <c r="Q165" s="24" t="n">
        <v>5</v>
      </c>
      <c r="R165" s="24" t="n">
        <v>0</v>
      </c>
      <c r="S165" s="24" t="n">
        <v>0</v>
      </c>
      <c r="T165" s="24" t="n">
        <v>0</v>
      </c>
      <c r="U165" s="24" t="n">
        <v>5</v>
      </c>
      <c r="V165" s="24" t="n">
        <v>5</v>
      </c>
      <c r="W165" s="24" t="n">
        <f aca="false">N165+U165</f>
        <v>5</v>
      </c>
      <c r="X165" s="32" t="n">
        <f aca="false">IF(V165&gt;0,W165/V165,0)</f>
        <v>1</v>
      </c>
      <c r="Y165" s="9"/>
    </row>
    <row r="166" customFormat="false" ht="15" hidden="false" customHeight="false" outlineLevel="0" collapsed="false">
      <c r="A166" s="25" t="n">
        <v>2022</v>
      </c>
      <c r="B166" s="9" t="s">
        <v>315</v>
      </c>
      <c r="C166" s="9" t="s">
        <v>222</v>
      </c>
      <c r="D166" s="9" t="str">
        <f aca="false">INDEX(Lookups!$C$5:$C$75,MATCH($C166,Lookups!$A$5:$A$75,0))</f>
        <v>Other regions</v>
      </c>
      <c r="E166" s="9" t="str">
        <f aca="false">INDEX(Lookups!$D$5:$D$75,MATCH($C166,Lookups!$A$5:$A$75,0))</f>
        <v>Rest of world</v>
      </c>
      <c r="F166" s="9" t="str">
        <f aca="false">IF($D166="Latin America &amp; Caribbean","Yes","No")</f>
        <v>No</v>
      </c>
      <c r="G166" s="9" t="str">
        <f aca="false">IF($C166="VEN","In-country record","Abroad")</f>
        <v>Abroad</v>
      </c>
      <c r="H166" s="24" t="n">
        <v>0</v>
      </c>
      <c r="I166" s="24" t="n">
        <v>5</v>
      </c>
      <c r="J166" s="24" t="n">
        <v>0</v>
      </c>
      <c r="K166" s="24" t="n">
        <v>0</v>
      </c>
      <c r="L166" s="24" t="n">
        <v>0</v>
      </c>
      <c r="M166" s="24" t="n">
        <v>0</v>
      </c>
      <c r="N166" s="24" t="n">
        <v>5</v>
      </c>
      <c r="O166" s="24" t="n">
        <v>0</v>
      </c>
      <c r="P166" s="24" t="n">
        <v>0</v>
      </c>
      <c r="Q166" s="24" t="n">
        <v>0</v>
      </c>
      <c r="R166" s="24" t="n">
        <v>0</v>
      </c>
      <c r="S166" s="24" t="n">
        <v>0</v>
      </c>
      <c r="T166" s="24" t="n">
        <v>0</v>
      </c>
      <c r="U166" s="24" t="n">
        <v>0</v>
      </c>
      <c r="V166" s="24" t="n">
        <v>5</v>
      </c>
      <c r="W166" s="24" t="n">
        <f aca="false">N166+U166</f>
        <v>5</v>
      </c>
      <c r="X166" s="32" t="n">
        <f aca="false">IF(V166&gt;0,W166/V166,0)</f>
        <v>1</v>
      </c>
      <c r="Y166" s="9"/>
    </row>
    <row r="167" customFormat="false" ht="15" hidden="false" customHeight="false" outlineLevel="0" collapsed="false">
      <c r="A167" s="25" t="n">
        <v>2022</v>
      </c>
      <c r="B167" s="9" t="s">
        <v>285</v>
      </c>
      <c r="C167" s="9" t="s">
        <v>186</v>
      </c>
      <c r="D167" s="9" t="str">
        <f aca="false">INDEX(Lookups!$C$5:$C$75,MATCH($C167,Lookups!$A$5:$A$75,0))</f>
        <v>Europe</v>
      </c>
      <c r="E167" s="9" t="str">
        <f aca="false">INDEX(Lookups!$D$5:$D$75,MATCH($C167,Lookups!$A$5:$A$75,0))</f>
        <v>Europe</v>
      </c>
      <c r="F167" s="9" t="str">
        <f aca="false">IF($D167="Latin America &amp; Caribbean","Yes","No")</f>
        <v>No</v>
      </c>
      <c r="G167" s="9" t="str">
        <f aca="false">IF($C167="VEN","In-country record","Abroad")</f>
        <v>Abroad</v>
      </c>
      <c r="H167" s="24" t="n">
        <v>0</v>
      </c>
      <c r="I167" s="24" t="n">
        <v>0</v>
      </c>
      <c r="J167" s="24" t="n">
        <v>0</v>
      </c>
      <c r="K167" s="24" t="n">
        <v>0</v>
      </c>
      <c r="L167" s="24" t="n">
        <v>0</v>
      </c>
      <c r="M167" s="24" t="n">
        <v>82</v>
      </c>
      <c r="N167" s="24" t="n">
        <v>82</v>
      </c>
      <c r="O167" s="24" t="n">
        <v>0</v>
      </c>
      <c r="P167" s="24" t="n">
        <v>0</v>
      </c>
      <c r="Q167" s="24" t="n">
        <v>0</v>
      </c>
      <c r="R167" s="24" t="n">
        <v>0</v>
      </c>
      <c r="S167" s="24" t="n">
        <v>0</v>
      </c>
      <c r="T167" s="24" t="n">
        <v>98</v>
      </c>
      <c r="U167" s="24" t="n">
        <v>98</v>
      </c>
      <c r="V167" s="24" t="n">
        <v>188</v>
      </c>
      <c r="W167" s="24" t="n">
        <f aca="false">N167+U167</f>
        <v>180</v>
      </c>
      <c r="X167" s="32" t="n">
        <f aca="false">IF(V167&gt;0,W167/V167,0)</f>
        <v>0.957446808510638</v>
      </c>
      <c r="Y167" s="9"/>
    </row>
    <row r="168" customFormat="false" ht="15" hidden="false" customHeight="false" outlineLevel="0" collapsed="false">
      <c r="A168" s="25" t="n">
        <v>2022</v>
      </c>
      <c r="B168" s="9" t="s">
        <v>286</v>
      </c>
      <c r="C168" s="9" t="s">
        <v>194</v>
      </c>
      <c r="D168" s="9" t="str">
        <f aca="false">INDEX(Lookups!$C$5:$C$75,MATCH($C168,Lookups!$A$5:$A$75,0))</f>
        <v>Europe</v>
      </c>
      <c r="E168" s="9" t="str">
        <f aca="false">INDEX(Lookups!$D$5:$D$75,MATCH($C168,Lookups!$A$5:$A$75,0))</f>
        <v>Europe</v>
      </c>
      <c r="F168" s="9" t="str">
        <f aca="false">IF($D168="Latin America &amp; Caribbean","Yes","No")</f>
        <v>No</v>
      </c>
      <c r="G168" s="9" t="str">
        <f aca="false">IF($C168="VEN","In-country record","Abroad")</f>
        <v>Abroad</v>
      </c>
      <c r="H168" s="24" t="n">
        <v>0</v>
      </c>
      <c r="I168" s="24" t="n">
        <v>0</v>
      </c>
      <c r="J168" s="24" t="n">
        <v>0</v>
      </c>
      <c r="K168" s="24" t="n">
        <v>0</v>
      </c>
      <c r="L168" s="24" t="n">
        <v>0</v>
      </c>
      <c r="M168" s="24" t="n">
        <v>23</v>
      </c>
      <c r="N168" s="24" t="n">
        <v>23</v>
      </c>
      <c r="O168" s="24" t="n">
        <v>0</v>
      </c>
      <c r="P168" s="24" t="n">
        <v>0</v>
      </c>
      <c r="Q168" s="24" t="n">
        <v>0</v>
      </c>
      <c r="R168" s="24" t="n">
        <v>0</v>
      </c>
      <c r="S168" s="24" t="n">
        <v>0</v>
      </c>
      <c r="T168" s="24" t="n">
        <v>20</v>
      </c>
      <c r="U168" s="24" t="n">
        <v>20</v>
      </c>
      <c r="V168" s="24" t="n">
        <v>67</v>
      </c>
      <c r="W168" s="24" t="n">
        <f aca="false">N168+U168</f>
        <v>43</v>
      </c>
      <c r="X168" s="32" t="n">
        <f aca="false">IF(V168&gt;0,W168/V168,0)</f>
        <v>0.641791044776119</v>
      </c>
      <c r="Y168" s="9"/>
    </row>
    <row r="169" customFormat="false" ht="15" hidden="false" customHeight="false" outlineLevel="0" collapsed="false">
      <c r="A169" s="25" t="n">
        <v>2022</v>
      </c>
      <c r="B169" s="9" t="s">
        <v>287</v>
      </c>
      <c r="C169" s="9" t="s">
        <v>163</v>
      </c>
      <c r="D169" s="9" t="str">
        <f aca="false">INDEX(Lookups!$C$5:$C$75,MATCH($C169,Lookups!$A$5:$A$75,0))</f>
        <v>Latin America &amp; Caribbean</v>
      </c>
      <c r="E169" s="9" t="str">
        <f aca="false">INDEX(Lookups!$D$5:$D$75,MATCH($C169,Lookups!$A$5:$A$75,0))</f>
        <v>Central America &amp; Mexico</v>
      </c>
      <c r="F169" s="9" t="str">
        <f aca="false">IF($D169="Latin America &amp; Caribbean","Yes","No")</f>
        <v>Yes</v>
      </c>
      <c r="G169" s="9" t="str">
        <f aca="false">IF($C169="VEN","In-country record","Abroad")</f>
        <v>Abroad</v>
      </c>
      <c r="H169" s="24" t="n">
        <v>507</v>
      </c>
      <c r="I169" s="24" t="n">
        <v>1590</v>
      </c>
      <c r="J169" s="24" t="n">
        <v>988</v>
      </c>
      <c r="K169" s="24" t="n">
        <v>13263</v>
      </c>
      <c r="L169" s="24" t="n">
        <v>1006</v>
      </c>
      <c r="M169" s="24" t="n">
        <v>0</v>
      </c>
      <c r="N169" s="24" t="n">
        <v>17354</v>
      </c>
      <c r="O169" s="24" t="n">
        <v>551</v>
      </c>
      <c r="P169" s="24" t="n">
        <v>1583</v>
      </c>
      <c r="Q169" s="24" t="n">
        <v>1204</v>
      </c>
      <c r="R169" s="24" t="n">
        <v>17085</v>
      </c>
      <c r="S169" s="24" t="n">
        <v>555</v>
      </c>
      <c r="T169" s="24" t="n">
        <v>0</v>
      </c>
      <c r="U169" s="24" t="n">
        <v>20978</v>
      </c>
      <c r="V169" s="24" t="n">
        <v>205631</v>
      </c>
      <c r="W169" s="24" t="n">
        <f aca="false">N169+U169</f>
        <v>38332</v>
      </c>
      <c r="X169" s="32" t="n">
        <f aca="false">IF(V169&gt;0,W169/V169,0)</f>
        <v>0.186411581911288</v>
      </c>
      <c r="Y169" s="9" t="s">
        <v>248</v>
      </c>
    </row>
    <row r="170" customFormat="false" ht="15" hidden="false" customHeight="false" outlineLevel="0" collapsed="false">
      <c r="A170" s="25" t="n">
        <v>2022</v>
      </c>
      <c r="B170" s="9" t="s">
        <v>289</v>
      </c>
      <c r="C170" s="9" t="s">
        <v>182</v>
      </c>
      <c r="D170" s="9" t="str">
        <f aca="false">INDEX(Lookups!$C$5:$C$75,MATCH($C170,Lookups!$A$5:$A$75,0))</f>
        <v>Europe</v>
      </c>
      <c r="E170" s="9" t="str">
        <f aca="false">INDEX(Lookups!$D$5:$D$75,MATCH($C170,Lookups!$A$5:$A$75,0))</f>
        <v>Europe</v>
      </c>
      <c r="F170" s="9" t="str">
        <f aca="false">IF($D170="Latin America &amp; Caribbean","Yes","No")</f>
        <v>No</v>
      </c>
      <c r="G170" s="9" t="str">
        <f aca="false">IF($C170="VEN","In-country record","Abroad")</f>
        <v>Abroad</v>
      </c>
      <c r="H170" s="24" t="n">
        <v>0</v>
      </c>
      <c r="I170" s="24" t="n">
        <v>0</v>
      </c>
      <c r="J170" s="24" t="n">
        <v>0</v>
      </c>
      <c r="K170" s="24" t="n">
        <v>0</v>
      </c>
      <c r="L170" s="24" t="n">
        <v>0</v>
      </c>
      <c r="M170" s="24" t="n">
        <v>92</v>
      </c>
      <c r="N170" s="24" t="n">
        <v>92</v>
      </c>
      <c r="O170" s="24" t="n">
        <v>0</v>
      </c>
      <c r="P170" s="24" t="n">
        <v>0</v>
      </c>
      <c r="Q170" s="24" t="n">
        <v>0</v>
      </c>
      <c r="R170" s="24" t="n">
        <v>0</v>
      </c>
      <c r="S170" s="24" t="n">
        <v>0</v>
      </c>
      <c r="T170" s="24" t="n">
        <v>108</v>
      </c>
      <c r="U170" s="24" t="n">
        <v>108</v>
      </c>
      <c r="V170" s="24" t="n">
        <v>389</v>
      </c>
      <c r="W170" s="24" t="n">
        <f aca="false">N170+U170</f>
        <v>200</v>
      </c>
      <c r="X170" s="32" t="n">
        <f aca="false">IF(V170&gt;0,W170/V170,0)</f>
        <v>0.51413881748072</v>
      </c>
      <c r="Y170" s="9"/>
    </row>
    <row r="171" customFormat="false" ht="15" hidden="false" customHeight="false" outlineLevel="0" collapsed="false">
      <c r="A171" s="25" t="n">
        <v>2022</v>
      </c>
      <c r="B171" s="9" t="s">
        <v>316</v>
      </c>
      <c r="C171" s="9" t="s">
        <v>205</v>
      </c>
      <c r="D171" s="9" t="str">
        <f aca="false">INDEX(Lookups!$C$5:$C$75,MATCH($C171,Lookups!$A$5:$A$75,0))</f>
        <v>Other regions</v>
      </c>
      <c r="E171" s="9" t="str">
        <f aca="false">INDEX(Lookups!$D$5:$D$75,MATCH($C171,Lookups!$A$5:$A$75,0))</f>
        <v>Rest of world</v>
      </c>
      <c r="F171" s="9" t="str">
        <f aca="false">IF($D171="Latin America &amp; Caribbean","Yes","No")</f>
        <v>No</v>
      </c>
      <c r="G171" s="9" t="str">
        <f aca="false">IF($C171="VEN","In-country record","Abroad")</f>
        <v>Abroad</v>
      </c>
      <c r="H171" s="24" t="n">
        <v>0</v>
      </c>
      <c r="I171" s="24" t="n">
        <v>0</v>
      </c>
      <c r="J171" s="24" t="n">
        <v>0</v>
      </c>
      <c r="K171" s="24" t="n">
        <v>0</v>
      </c>
      <c r="L171" s="24" t="n">
        <v>0</v>
      </c>
      <c r="M171" s="24" t="n">
        <v>0</v>
      </c>
      <c r="N171" s="24" t="n">
        <v>0</v>
      </c>
      <c r="O171" s="24" t="n">
        <v>0</v>
      </c>
      <c r="P171" s="24" t="n">
        <v>0</v>
      </c>
      <c r="Q171" s="24" t="n">
        <v>0</v>
      </c>
      <c r="R171" s="24" t="n">
        <v>0</v>
      </c>
      <c r="S171" s="24" t="n">
        <v>0</v>
      </c>
      <c r="T171" s="24" t="n">
        <v>0</v>
      </c>
      <c r="U171" s="24" t="n">
        <v>0</v>
      </c>
      <c r="V171" s="24" t="n">
        <v>5</v>
      </c>
      <c r="W171" s="24" t="n">
        <f aca="false">N171+U171</f>
        <v>0</v>
      </c>
      <c r="X171" s="32" t="n">
        <f aca="false">IF(V171&gt;0,W171/V171,0)</f>
        <v>0</v>
      </c>
      <c r="Y171" s="9"/>
    </row>
    <row r="172" customFormat="false" ht="15" hidden="false" customHeight="false" outlineLevel="0" collapsed="false">
      <c r="A172" s="25" t="n">
        <v>2022</v>
      </c>
      <c r="B172" s="9" t="s">
        <v>290</v>
      </c>
      <c r="C172" s="9" t="s">
        <v>189</v>
      </c>
      <c r="D172" s="9" t="str">
        <f aca="false">INDEX(Lookups!$C$5:$C$75,MATCH($C172,Lookups!$A$5:$A$75,0))</f>
        <v>Europe</v>
      </c>
      <c r="E172" s="9" t="str">
        <f aca="false">INDEX(Lookups!$D$5:$D$75,MATCH($C172,Lookups!$A$5:$A$75,0))</f>
        <v>Europe</v>
      </c>
      <c r="F172" s="9" t="str">
        <f aca="false">IF($D172="Latin America &amp; Caribbean","Yes","No")</f>
        <v>No</v>
      </c>
      <c r="G172" s="9" t="str">
        <f aca="false">IF($C172="VEN","In-country record","Abroad")</f>
        <v>Abroad</v>
      </c>
      <c r="H172" s="24" t="n">
        <v>0</v>
      </c>
      <c r="I172" s="24" t="n">
        <v>0</v>
      </c>
      <c r="J172" s="24" t="n">
        <v>0</v>
      </c>
      <c r="K172" s="24" t="n">
        <v>0</v>
      </c>
      <c r="L172" s="24" t="n">
        <v>0</v>
      </c>
      <c r="M172" s="24" t="n">
        <v>48</v>
      </c>
      <c r="N172" s="24" t="n">
        <v>48</v>
      </c>
      <c r="O172" s="24" t="n">
        <v>0</v>
      </c>
      <c r="P172" s="24" t="n">
        <v>0</v>
      </c>
      <c r="Q172" s="24" t="n">
        <v>0</v>
      </c>
      <c r="R172" s="24" t="n">
        <v>0</v>
      </c>
      <c r="S172" s="24" t="n">
        <v>0</v>
      </c>
      <c r="T172" s="24" t="n">
        <v>43</v>
      </c>
      <c r="U172" s="24" t="n">
        <v>43</v>
      </c>
      <c r="V172" s="24" t="n">
        <v>119</v>
      </c>
      <c r="W172" s="24" t="n">
        <f aca="false">N172+U172</f>
        <v>91</v>
      </c>
      <c r="X172" s="32" t="n">
        <f aca="false">IF(V172&gt;0,W172/V172,0)</f>
        <v>0.764705882352941</v>
      </c>
      <c r="Y172" s="9"/>
    </row>
    <row r="173" customFormat="false" ht="15" hidden="false" customHeight="false" outlineLevel="0" collapsed="false">
      <c r="A173" s="25" t="n">
        <v>2022</v>
      </c>
      <c r="B173" s="9" t="s">
        <v>291</v>
      </c>
      <c r="C173" s="9" t="s">
        <v>165</v>
      </c>
      <c r="D173" s="9" t="str">
        <f aca="false">INDEX(Lookups!$C$5:$C$75,MATCH($C173,Lookups!$A$5:$A$75,0))</f>
        <v>Latin America &amp; Caribbean</v>
      </c>
      <c r="E173" s="9" t="str">
        <f aca="false">INDEX(Lookups!$D$5:$D$75,MATCH($C173,Lookups!$A$5:$A$75,0))</f>
        <v>Central America &amp; Mexico</v>
      </c>
      <c r="F173" s="9" t="str">
        <f aca="false">IF($D173="Latin America &amp; Caribbean","Yes","No")</f>
        <v>Yes</v>
      </c>
      <c r="G173" s="9" t="str">
        <f aca="false">IF($C173="VEN","In-country record","Abroad")</f>
        <v>Abroad</v>
      </c>
      <c r="H173" s="24" t="n">
        <v>0</v>
      </c>
      <c r="I173" s="24" t="n">
        <v>0</v>
      </c>
      <c r="J173" s="24" t="n">
        <v>0</v>
      </c>
      <c r="K173" s="24" t="n">
        <v>0</v>
      </c>
      <c r="L173" s="24" t="n">
        <v>0</v>
      </c>
      <c r="M173" s="24" t="n">
        <v>0</v>
      </c>
      <c r="N173" s="24" t="n">
        <v>0</v>
      </c>
      <c r="O173" s="24" t="n">
        <v>0</v>
      </c>
      <c r="P173" s="24" t="n">
        <v>0</v>
      </c>
      <c r="Q173" s="24" t="n">
        <v>0</v>
      </c>
      <c r="R173" s="24" t="n">
        <v>0</v>
      </c>
      <c r="S173" s="24" t="n">
        <v>0</v>
      </c>
      <c r="T173" s="24" t="n">
        <v>0</v>
      </c>
      <c r="U173" s="24" t="n">
        <v>0</v>
      </c>
      <c r="V173" s="24" t="n">
        <v>147627</v>
      </c>
      <c r="W173" s="24" t="n">
        <f aca="false">N173+U173</f>
        <v>0</v>
      </c>
      <c r="X173" s="32" t="n">
        <f aca="false">IF(V173&gt;0,W173/V173,0)</f>
        <v>0</v>
      </c>
      <c r="Y173" s="9" t="s">
        <v>248</v>
      </c>
    </row>
    <row r="174" customFormat="false" ht="15" hidden="false" customHeight="false" outlineLevel="0" collapsed="false">
      <c r="A174" s="25" t="n">
        <v>2022</v>
      </c>
      <c r="B174" s="9" t="s">
        <v>292</v>
      </c>
      <c r="C174" s="9" t="s">
        <v>178</v>
      </c>
      <c r="D174" s="9" t="str">
        <f aca="false">INDEX(Lookups!$C$5:$C$75,MATCH($C174,Lookups!$A$5:$A$75,0))</f>
        <v>Latin America &amp; Caribbean</v>
      </c>
      <c r="E174" s="9" t="str">
        <f aca="false">INDEX(Lookups!$D$5:$D$75,MATCH($C174,Lookups!$A$5:$A$75,0))</f>
        <v>Southern Cone &amp; Brazil</v>
      </c>
      <c r="F174" s="9" t="str">
        <f aca="false">IF($D174="Latin America &amp; Caribbean","Yes","No")</f>
        <v>Yes</v>
      </c>
      <c r="G174" s="9" t="str">
        <f aca="false">IF($C174="VEN","In-country record","Abroad")</f>
        <v>Abroad</v>
      </c>
      <c r="H174" s="24" t="n">
        <v>71</v>
      </c>
      <c r="I174" s="24" t="n">
        <v>231</v>
      </c>
      <c r="J174" s="24" t="n">
        <v>170</v>
      </c>
      <c r="K174" s="24" t="n">
        <v>1505</v>
      </c>
      <c r="L174" s="24" t="n">
        <v>132</v>
      </c>
      <c r="M174" s="24" t="n">
        <v>0</v>
      </c>
      <c r="N174" s="24" t="n">
        <v>2109</v>
      </c>
      <c r="O174" s="24" t="n">
        <v>79</v>
      </c>
      <c r="P174" s="24" t="n">
        <v>261</v>
      </c>
      <c r="Q174" s="24" t="n">
        <v>184</v>
      </c>
      <c r="R174" s="24" t="n">
        <v>2039</v>
      </c>
      <c r="S174" s="24" t="n">
        <v>88</v>
      </c>
      <c r="T174" s="24" t="n">
        <v>0</v>
      </c>
      <c r="U174" s="24" t="n">
        <v>2651</v>
      </c>
      <c r="V174" s="24" t="n">
        <v>5769</v>
      </c>
      <c r="W174" s="24" t="n">
        <f aca="false">N174+U174</f>
        <v>4760</v>
      </c>
      <c r="X174" s="32" t="n">
        <f aca="false">IF(V174&gt;0,W174/V174,0)</f>
        <v>0.825099670653493</v>
      </c>
      <c r="Y174" s="9"/>
    </row>
    <row r="175" customFormat="false" ht="15" hidden="false" customHeight="false" outlineLevel="0" collapsed="false">
      <c r="A175" s="25" t="n">
        <v>2022</v>
      </c>
      <c r="B175" s="9" t="s">
        <v>293</v>
      </c>
      <c r="C175" s="9" t="s">
        <v>156</v>
      </c>
      <c r="D175" s="9" t="str">
        <f aca="false">INDEX(Lookups!$C$5:$C$75,MATCH($C175,Lookups!$A$5:$A$75,0))</f>
        <v>Latin America &amp; Caribbean</v>
      </c>
      <c r="E175" s="9" t="str">
        <f aca="false">INDEX(Lookups!$D$5:$D$75,MATCH($C175,Lookups!$A$5:$A$75,0))</f>
        <v>Andean region</v>
      </c>
      <c r="F175" s="9" t="str">
        <f aca="false">IF($D175="Latin America &amp; Caribbean","Yes","No")</f>
        <v>Yes</v>
      </c>
      <c r="G175" s="9" t="str">
        <f aca="false">IF($C175="VEN","In-country record","Abroad")</f>
        <v>Abroad</v>
      </c>
      <c r="H175" s="24" t="n">
        <v>0</v>
      </c>
      <c r="I175" s="24" t="n">
        <v>0</v>
      </c>
      <c r="J175" s="24" t="n">
        <v>0</v>
      </c>
      <c r="K175" s="24" t="n">
        <v>0</v>
      </c>
      <c r="L175" s="24" t="n">
        <v>0</v>
      </c>
      <c r="M175" s="24" t="n">
        <v>0</v>
      </c>
      <c r="N175" s="24" t="n">
        <v>0</v>
      </c>
      <c r="O175" s="24" t="n">
        <v>0</v>
      </c>
      <c r="P175" s="24" t="n">
        <v>0</v>
      </c>
      <c r="Q175" s="24" t="n">
        <v>0</v>
      </c>
      <c r="R175" s="24" t="n">
        <v>0</v>
      </c>
      <c r="S175" s="24" t="n">
        <v>0</v>
      </c>
      <c r="T175" s="24" t="n">
        <v>0</v>
      </c>
      <c r="U175" s="24" t="n">
        <v>0</v>
      </c>
      <c r="V175" s="24" t="n">
        <v>1506368</v>
      </c>
      <c r="W175" s="24" t="n">
        <f aca="false">N175+U175</f>
        <v>0</v>
      </c>
      <c r="X175" s="32" t="n">
        <f aca="false">IF(V175&gt;0,W175/V175,0)</f>
        <v>0</v>
      </c>
      <c r="Y175" s="9" t="s">
        <v>248</v>
      </c>
    </row>
    <row r="176" customFormat="false" ht="15" hidden="false" customHeight="false" outlineLevel="0" collapsed="false">
      <c r="A176" s="25" t="n">
        <v>2022</v>
      </c>
      <c r="B176" s="9" t="s">
        <v>294</v>
      </c>
      <c r="C176" s="9" t="s">
        <v>196</v>
      </c>
      <c r="D176" s="9" t="str">
        <f aca="false">INDEX(Lookups!$C$5:$C$75,MATCH($C176,Lookups!$A$5:$A$75,0))</f>
        <v>Europe</v>
      </c>
      <c r="E176" s="9" t="str">
        <f aca="false">INDEX(Lookups!$D$5:$D$75,MATCH($C176,Lookups!$A$5:$A$75,0))</f>
        <v>Europe</v>
      </c>
      <c r="F176" s="9" t="str">
        <f aca="false">IF($D176="Latin America &amp; Caribbean","Yes","No")</f>
        <v>No</v>
      </c>
      <c r="G176" s="9" t="str">
        <f aca="false">IF($C176="VEN","In-country record","Abroad")</f>
        <v>Abroad</v>
      </c>
      <c r="H176" s="24" t="n">
        <v>0</v>
      </c>
      <c r="I176" s="24" t="n">
        <v>0</v>
      </c>
      <c r="J176" s="24" t="n">
        <v>0</v>
      </c>
      <c r="K176" s="24" t="n">
        <v>0</v>
      </c>
      <c r="L176" s="24" t="n">
        <v>0</v>
      </c>
      <c r="M176" s="24" t="n">
        <v>0</v>
      </c>
      <c r="N176" s="24" t="n">
        <v>0</v>
      </c>
      <c r="O176" s="24" t="n">
        <v>0</v>
      </c>
      <c r="P176" s="24" t="n">
        <v>0</v>
      </c>
      <c r="Q176" s="24" t="n">
        <v>0</v>
      </c>
      <c r="R176" s="24" t="n">
        <v>0</v>
      </c>
      <c r="S176" s="24" t="n">
        <v>0</v>
      </c>
      <c r="T176" s="24" t="n">
        <v>0</v>
      </c>
      <c r="U176" s="24" t="n">
        <v>0</v>
      </c>
      <c r="V176" s="24" t="n">
        <v>22</v>
      </c>
      <c r="W176" s="24" t="n">
        <f aca="false">N176+U176</f>
        <v>0</v>
      </c>
      <c r="X176" s="32" t="n">
        <f aca="false">IF(V176&gt;0,W176/V176,0)</f>
        <v>0</v>
      </c>
      <c r="Y176" s="9"/>
    </row>
    <row r="177" customFormat="false" ht="15" hidden="false" customHeight="false" outlineLevel="0" collapsed="false">
      <c r="A177" s="25" t="n">
        <v>2022</v>
      </c>
      <c r="B177" s="9" t="s">
        <v>295</v>
      </c>
      <c r="C177" s="9" t="s">
        <v>185</v>
      </c>
      <c r="D177" s="9" t="str">
        <f aca="false">INDEX(Lookups!$C$5:$C$75,MATCH($C177,Lookups!$A$5:$A$75,0))</f>
        <v>Europe</v>
      </c>
      <c r="E177" s="9" t="str">
        <f aca="false">INDEX(Lookups!$D$5:$D$75,MATCH($C177,Lookups!$A$5:$A$75,0))</f>
        <v>Europe</v>
      </c>
      <c r="F177" s="9" t="str">
        <f aca="false">IF($D177="Latin America &amp; Caribbean","Yes","No")</f>
        <v>No</v>
      </c>
      <c r="G177" s="9" t="str">
        <f aca="false">IF($C177="VEN","In-country record","Abroad")</f>
        <v>Abroad</v>
      </c>
      <c r="H177" s="24" t="n">
        <v>0</v>
      </c>
      <c r="I177" s="24" t="n">
        <v>0</v>
      </c>
      <c r="J177" s="24" t="n">
        <v>0</v>
      </c>
      <c r="K177" s="24" t="n">
        <v>0</v>
      </c>
      <c r="L177" s="24" t="n">
        <v>0</v>
      </c>
      <c r="M177" s="24" t="n">
        <v>13</v>
      </c>
      <c r="N177" s="24" t="n">
        <v>13</v>
      </c>
      <c r="O177" s="24" t="n">
        <v>0</v>
      </c>
      <c r="P177" s="24" t="n">
        <v>0</v>
      </c>
      <c r="Q177" s="24" t="n">
        <v>0</v>
      </c>
      <c r="R177" s="24" t="n">
        <v>0</v>
      </c>
      <c r="S177" s="24" t="n">
        <v>0</v>
      </c>
      <c r="T177" s="24" t="n">
        <v>14</v>
      </c>
      <c r="U177" s="24" t="n">
        <v>14</v>
      </c>
      <c r="V177" s="24" t="n">
        <v>32</v>
      </c>
      <c r="W177" s="24" t="n">
        <f aca="false">N177+U177</f>
        <v>27</v>
      </c>
      <c r="X177" s="32" t="n">
        <f aca="false">IF(V177&gt;0,W177/V177,0)</f>
        <v>0.84375</v>
      </c>
      <c r="Y177" s="9"/>
    </row>
    <row r="178" customFormat="false" ht="15" hidden="false" customHeight="false" outlineLevel="0" collapsed="false">
      <c r="A178" s="25" t="n">
        <v>2022</v>
      </c>
      <c r="B178" s="9" t="s">
        <v>296</v>
      </c>
      <c r="C178" s="9" t="s">
        <v>216</v>
      </c>
      <c r="D178" s="9" t="str">
        <f aca="false">INDEX(Lookups!$C$5:$C$75,MATCH($C178,Lookups!$A$5:$A$75,0))</f>
        <v>Latin America &amp; Caribbean</v>
      </c>
      <c r="E178" s="9" t="str">
        <f aca="false">INDEX(Lookups!$D$5:$D$75,MATCH($C178,Lookups!$A$5:$A$75,0))</f>
        <v>Caribbean &amp; Guianas</v>
      </c>
      <c r="F178" s="9" t="str">
        <f aca="false">IF($D178="Latin America &amp; Caribbean","Yes","No")</f>
        <v>Yes</v>
      </c>
      <c r="G178" s="9" t="str">
        <f aca="false">IF($C178="VEN","In-country record","Abroad")</f>
        <v>Abroad</v>
      </c>
      <c r="H178" s="24" t="n">
        <v>0</v>
      </c>
      <c r="I178" s="24" t="n">
        <v>0</v>
      </c>
      <c r="J178" s="24" t="n">
        <v>0</v>
      </c>
      <c r="K178" s="24" t="n">
        <v>0</v>
      </c>
      <c r="L178" s="24" t="n">
        <v>0</v>
      </c>
      <c r="M178" s="24" t="n">
        <v>0</v>
      </c>
      <c r="N178" s="24" t="n">
        <v>0</v>
      </c>
      <c r="O178" s="24" t="n">
        <v>0</v>
      </c>
      <c r="P178" s="24" t="n">
        <v>0</v>
      </c>
      <c r="Q178" s="24" t="n">
        <v>0</v>
      </c>
      <c r="R178" s="24" t="n">
        <v>0</v>
      </c>
      <c r="S178" s="24" t="n">
        <v>0</v>
      </c>
      <c r="T178" s="24" t="n">
        <v>0</v>
      </c>
      <c r="U178" s="24" t="n">
        <v>0</v>
      </c>
      <c r="V178" s="24" t="n">
        <v>60</v>
      </c>
      <c r="W178" s="24" t="n">
        <f aca="false">N178+U178</f>
        <v>0</v>
      </c>
      <c r="X178" s="32" t="n">
        <f aca="false">IF(V178&gt;0,W178/V178,0)</f>
        <v>0</v>
      </c>
      <c r="Y178" s="9"/>
    </row>
    <row r="179" customFormat="false" ht="15" hidden="false" customHeight="false" outlineLevel="0" collapsed="false">
      <c r="A179" s="25" t="n">
        <v>2022</v>
      </c>
      <c r="B179" s="9" t="s">
        <v>297</v>
      </c>
      <c r="C179" s="9" t="s">
        <v>215</v>
      </c>
      <c r="D179" s="9" t="str">
        <f aca="false">INDEX(Lookups!$C$5:$C$75,MATCH($C179,Lookups!$A$5:$A$75,0))</f>
        <v>Latin America &amp; Caribbean</v>
      </c>
      <c r="E179" s="9" t="str">
        <f aca="false">INDEX(Lookups!$D$5:$D$75,MATCH($C179,Lookups!$A$5:$A$75,0))</f>
        <v>Caribbean &amp; Guianas</v>
      </c>
      <c r="F179" s="9" t="str">
        <f aca="false">IF($D179="Latin America &amp; Caribbean","Yes","No")</f>
        <v>Yes</v>
      </c>
      <c r="G179" s="9" t="str">
        <f aca="false">IF($C179="VEN","In-country record","Abroad")</f>
        <v>Abroad</v>
      </c>
      <c r="H179" s="24" t="n">
        <v>0</v>
      </c>
      <c r="I179" s="24" t="n">
        <v>0</v>
      </c>
      <c r="J179" s="24" t="n">
        <v>0</v>
      </c>
      <c r="K179" s="24" t="n">
        <v>0</v>
      </c>
      <c r="L179" s="24" t="n">
        <v>0</v>
      </c>
      <c r="M179" s="24" t="n">
        <v>0</v>
      </c>
      <c r="N179" s="24" t="n">
        <v>0</v>
      </c>
      <c r="O179" s="24" t="n">
        <v>0</v>
      </c>
      <c r="P179" s="24" t="n">
        <v>0</v>
      </c>
      <c r="Q179" s="24" t="n">
        <v>0</v>
      </c>
      <c r="R179" s="24" t="n">
        <v>0</v>
      </c>
      <c r="S179" s="24" t="n">
        <v>0</v>
      </c>
      <c r="T179" s="24" t="n">
        <v>0</v>
      </c>
      <c r="U179" s="24" t="n">
        <v>0</v>
      </c>
      <c r="V179" s="24" t="n">
        <v>5</v>
      </c>
      <c r="W179" s="24" t="n">
        <f aca="false">N179+U179</f>
        <v>0</v>
      </c>
      <c r="X179" s="32" t="n">
        <f aca="false">IF(V179&gt;0,W179/V179,0)</f>
        <v>0</v>
      </c>
      <c r="Y179" s="9"/>
    </row>
    <row r="180" customFormat="false" ht="15" hidden="false" customHeight="false" outlineLevel="0" collapsed="false">
      <c r="A180" s="25" t="n">
        <v>2022</v>
      </c>
      <c r="B180" s="9" t="s">
        <v>298</v>
      </c>
      <c r="C180" s="9" t="s">
        <v>191</v>
      </c>
      <c r="D180" s="9" t="str">
        <f aca="false">INDEX(Lookups!$C$5:$C$75,MATCH($C180,Lookups!$A$5:$A$75,0))</f>
        <v>Latin America &amp; Caribbean</v>
      </c>
      <c r="E180" s="9" t="str">
        <f aca="false">INDEX(Lookups!$D$5:$D$75,MATCH($C180,Lookups!$A$5:$A$75,0))</f>
        <v>Caribbean &amp; Guianas</v>
      </c>
      <c r="F180" s="9" t="str">
        <f aca="false">IF($D180="Latin America &amp; Caribbean","Yes","No")</f>
        <v>Yes</v>
      </c>
      <c r="G180" s="9" t="str">
        <f aca="false">IF($C180="VEN","In-country record","Abroad")</f>
        <v>Abroad</v>
      </c>
      <c r="H180" s="24" t="n">
        <v>0</v>
      </c>
      <c r="I180" s="24" t="n">
        <v>0</v>
      </c>
      <c r="J180" s="24" t="n">
        <v>0</v>
      </c>
      <c r="K180" s="24" t="n">
        <v>0</v>
      </c>
      <c r="L180" s="24" t="n">
        <v>0</v>
      </c>
      <c r="M180" s="24" t="n">
        <v>0</v>
      </c>
      <c r="N180" s="24" t="n">
        <v>0</v>
      </c>
      <c r="O180" s="24" t="n">
        <v>0</v>
      </c>
      <c r="P180" s="24" t="n">
        <v>0</v>
      </c>
      <c r="Q180" s="24" t="n">
        <v>0</v>
      </c>
      <c r="R180" s="24" t="n">
        <v>0</v>
      </c>
      <c r="S180" s="24" t="n">
        <v>0</v>
      </c>
      <c r="T180" s="24" t="n">
        <v>0</v>
      </c>
      <c r="U180" s="24" t="n">
        <v>0</v>
      </c>
      <c r="V180" s="24" t="n">
        <v>122</v>
      </c>
      <c r="W180" s="24" t="n">
        <f aca="false">N180+U180</f>
        <v>0</v>
      </c>
      <c r="X180" s="32" t="n">
        <f aca="false">IF(V180&gt;0,W180/V180,0)</f>
        <v>0</v>
      </c>
      <c r="Y180" s="9"/>
    </row>
    <row r="181" customFormat="false" ht="15" hidden="false" customHeight="false" outlineLevel="0" collapsed="false">
      <c r="A181" s="25" t="n">
        <v>2022</v>
      </c>
      <c r="B181" s="9" t="s">
        <v>300</v>
      </c>
      <c r="C181" s="9" t="s">
        <v>161</v>
      </c>
      <c r="D181" s="9" t="str">
        <f aca="false">INDEX(Lookups!$C$5:$C$75,MATCH($C181,Lookups!$A$5:$A$75,0))</f>
        <v>Europe</v>
      </c>
      <c r="E181" s="9" t="str">
        <f aca="false">INDEX(Lookups!$D$5:$D$75,MATCH($C181,Lookups!$A$5:$A$75,0))</f>
        <v>Europe</v>
      </c>
      <c r="F181" s="9" t="str">
        <f aca="false">IF($D181="Latin America &amp; Caribbean","Yes","No")</f>
        <v>No</v>
      </c>
      <c r="G181" s="9" t="str">
        <f aca="false">IF($C181="VEN","In-country record","Abroad")</f>
        <v>Abroad</v>
      </c>
      <c r="H181" s="24" t="n">
        <v>0</v>
      </c>
      <c r="I181" s="24" t="n">
        <v>0</v>
      </c>
      <c r="J181" s="24" t="n">
        <v>0</v>
      </c>
      <c r="K181" s="24" t="n">
        <v>0</v>
      </c>
      <c r="L181" s="24" t="n">
        <v>0</v>
      </c>
      <c r="M181" s="24" t="n">
        <v>74856</v>
      </c>
      <c r="N181" s="24" t="n">
        <v>74856</v>
      </c>
      <c r="O181" s="24" t="n">
        <v>0</v>
      </c>
      <c r="P181" s="24" t="n">
        <v>0</v>
      </c>
      <c r="Q181" s="24" t="n">
        <v>0</v>
      </c>
      <c r="R181" s="24" t="n">
        <v>0</v>
      </c>
      <c r="S181" s="24" t="n">
        <v>0</v>
      </c>
      <c r="T181" s="24" t="n">
        <v>64588</v>
      </c>
      <c r="U181" s="24" t="n">
        <v>64588</v>
      </c>
      <c r="V181" s="24" t="n">
        <v>139444</v>
      </c>
      <c r="W181" s="24" t="n">
        <f aca="false">N181+U181</f>
        <v>139444</v>
      </c>
      <c r="X181" s="32" t="n">
        <f aca="false">IF(V181&gt;0,W181/V181,0)</f>
        <v>1</v>
      </c>
      <c r="Y181" s="9" t="s">
        <v>321</v>
      </c>
    </row>
    <row r="182" customFormat="false" ht="15" hidden="false" customHeight="false" outlineLevel="0" collapsed="false">
      <c r="A182" s="25" t="n">
        <v>2022</v>
      </c>
      <c r="B182" s="9" t="s">
        <v>302</v>
      </c>
      <c r="C182" s="9" t="s">
        <v>183</v>
      </c>
      <c r="D182" s="9" t="str">
        <f aca="false">INDEX(Lookups!$C$5:$C$75,MATCH($C182,Lookups!$A$5:$A$75,0))</f>
        <v>Latin America &amp; Caribbean</v>
      </c>
      <c r="E182" s="9" t="str">
        <f aca="false">INDEX(Lookups!$D$5:$D$75,MATCH($C182,Lookups!$A$5:$A$75,0))</f>
        <v>Caribbean &amp; Guianas</v>
      </c>
      <c r="F182" s="9" t="str">
        <f aca="false">IF($D182="Latin America &amp; Caribbean","Yes","No")</f>
        <v>Yes</v>
      </c>
      <c r="G182" s="9" t="str">
        <f aca="false">IF($C182="VEN","In-country record","Abroad")</f>
        <v>Abroad</v>
      </c>
      <c r="H182" s="24" t="n">
        <v>0</v>
      </c>
      <c r="I182" s="24" t="n">
        <v>0</v>
      </c>
      <c r="J182" s="24" t="n">
        <v>0</v>
      </c>
      <c r="K182" s="24" t="n">
        <v>0</v>
      </c>
      <c r="L182" s="24" t="n">
        <v>0</v>
      </c>
      <c r="M182" s="24" t="n">
        <v>0</v>
      </c>
      <c r="N182" s="24" t="n">
        <v>0</v>
      </c>
      <c r="O182" s="24" t="n">
        <v>0</v>
      </c>
      <c r="P182" s="24" t="n">
        <v>0</v>
      </c>
      <c r="Q182" s="24" t="n">
        <v>0</v>
      </c>
      <c r="R182" s="24" t="n">
        <v>0</v>
      </c>
      <c r="S182" s="24" t="n">
        <v>0</v>
      </c>
      <c r="T182" s="24" t="n">
        <v>0</v>
      </c>
      <c r="U182" s="24" t="n">
        <v>0</v>
      </c>
      <c r="V182" s="24" t="n">
        <v>443</v>
      </c>
      <c r="W182" s="24" t="n">
        <f aca="false">N182+U182</f>
        <v>0</v>
      </c>
      <c r="X182" s="32" t="n">
        <f aca="false">IF(V182&gt;0,W182/V182,0)</f>
        <v>0</v>
      </c>
      <c r="Y182" s="9"/>
    </row>
    <row r="183" customFormat="false" ht="15" hidden="false" customHeight="false" outlineLevel="0" collapsed="false">
      <c r="A183" s="25" t="n">
        <v>2022</v>
      </c>
      <c r="B183" s="9" t="s">
        <v>303</v>
      </c>
      <c r="C183" s="9" t="s">
        <v>193</v>
      </c>
      <c r="D183" s="9" t="str">
        <f aca="false">INDEX(Lookups!$C$5:$C$75,MATCH($C183,Lookups!$A$5:$A$75,0))</f>
        <v>Europe</v>
      </c>
      <c r="E183" s="9" t="str">
        <f aca="false">INDEX(Lookups!$D$5:$D$75,MATCH($C183,Lookups!$A$5:$A$75,0))</f>
        <v>Europe</v>
      </c>
      <c r="F183" s="9" t="str">
        <f aca="false">IF($D183="Latin America &amp; Caribbean","Yes","No")</f>
        <v>No</v>
      </c>
      <c r="G183" s="9" t="str">
        <f aca="false">IF($C183="VEN","In-country record","Abroad")</f>
        <v>Abroad</v>
      </c>
      <c r="H183" s="24" t="n">
        <v>0</v>
      </c>
      <c r="I183" s="24" t="n">
        <v>0</v>
      </c>
      <c r="J183" s="24" t="n">
        <v>0</v>
      </c>
      <c r="K183" s="24" t="n">
        <v>0</v>
      </c>
      <c r="L183" s="24" t="n">
        <v>0</v>
      </c>
      <c r="M183" s="24" t="n">
        <v>30</v>
      </c>
      <c r="N183" s="24" t="n">
        <v>30</v>
      </c>
      <c r="O183" s="24" t="n">
        <v>0</v>
      </c>
      <c r="P183" s="24" t="n">
        <v>0</v>
      </c>
      <c r="Q183" s="24" t="n">
        <v>0</v>
      </c>
      <c r="R183" s="24" t="n">
        <v>0</v>
      </c>
      <c r="S183" s="24" t="n">
        <v>0</v>
      </c>
      <c r="T183" s="24" t="n">
        <v>29</v>
      </c>
      <c r="U183" s="24" t="n">
        <v>29</v>
      </c>
      <c r="V183" s="24" t="n">
        <v>100</v>
      </c>
      <c r="W183" s="24" t="n">
        <f aca="false">N183+U183</f>
        <v>59</v>
      </c>
      <c r="X183" s="32" t="n">
        <f aca="false">IF(V183&gt;0,W183/V183,0)</f>
        <v>0.59</v>
      </c>
      <c r="Y183" s="9"/>
    </row>
    <row r="184" customFormat="false" ht="15" hidden="false" customHeight="false" outlineLevel="0" collapsed="false">
      <c r="A184" s="25" t="n">
        <v>2022</v>
      </c>
      <c r="B184" s="9" t="s">
        <v>304</v>
      </c>
      <c r="C184" s="9" t="s">
        <v>188</v>
      </c>
      <c r="D184" s="9" t="str">
        <f aca="false">INDEX(Lookups!$C$5:$C$75,MATCH($C184,Lookups!$A$5:$A$75,0))</f>
        <v>Europe</v>
      </c>
      <c r="E184" s="9" t="str">
        <f aca="false">INDEX(Lookups!$D$5:$D$75,MATCH($C184,Lookups!$A$5:$A$75,0))</f>
        <v>Europe</v>
      </c>
      <c r="F184" s="9" t="str">
        <f aca="false">IF($D184="Latin America &amp; Caribbean","Yes","No")</f>
        <v>No</v>
      </c>
      <c r="G184" s="9" t="str">
        <f aca="false">IF($C184="VEN","In-country record","Abroad")</f>
        <v>Abroad</v>
      </c>
      <c r="H184" s="24" t="n">
        <v>0</v>
      </c>
      <c r="I184" s="24" t="n">
        <v>11</v>
      </c>
      <c r="J184" s="24" t="n">
        <v>0</v>
      </c>
      <c r="K184" s="24" t="n">
        <v>28</v>
      </c>
      <c r="L184" s="24" t="n">
        <v>5</v>
      </c>
      <c r="M184" s="24" t="n">
        <v>0</v>
      </c>
      <c r="N184" s="24" t="n">
        <v>44</v>
      </c>
      <c r="O184" s="24" t="n">
        <v>0</v>
      </c>
      <c r="P184" s="24" t="n">
        <v>6</v>
      </c>
      <c r="Q184" s="24" t="n">
        <v>0</v>
      </c>
      <c r="R184" s="24" t="n">
        <v>47</v>
      </c>
      <c r="S184" s="24" t="n">
        <v>6</v>
      </c>
      <c r="T184" s="24" t="n">
        <v>0</v>
      </c>
      <c r="U184" s="24" t="n">
        <v>59</v>
      </c>
      <c r="V184" s="24" t="n">
        <v>138</v>
      </c>
      <c r="W184" s="24" t="n">
        <f aca="false">N184+U184</f>
        <v>103</v>
      </c>
      <c r="X184" s="32" t="n">
        <f aca="false">IF(V184&gt;0,W184/V184,0)</f>
        <v>0.746376811594203</v>
      </c>
      <c r="Y184" s="9"/>
    </row>
    <row r="185" customFormat="false" ht="15" hidden="false" customHeight="false" outlineLevel="0" collapsed="false">
      <c r="A185" s="25" t="n">
        <v>2022</v>
      </c>
      <c r="B185" s="9" t="s">
        <v>305</v>
      </c>
      <c r="C185" s="9" t="s">
        <v>167</v>
      </c>
      <c r="D185" s="9" t="str">
        <f aca="false">INDEX(Lookups!$C$5:$C$75,MATCH($C185,Lookups!$A$5:$A$75,0))</f>
        <v>Latin America &amp; Caribbean</v>
      </c>
      <c r="E185" s="9" t="str">
        <f aca="false">INDEX(Lookups!$D$5:$D$75,MATCH($C185,Lookups!$A$5:$A$75,0))</f>
        <v>Caribbean &amp; Guianas</v>
      </c>
      <c r="F185" s="9" t="str">
        <f aca="false">IF($D185="Latin America &amp; Caribbean","Yes","No")</f>
        <v>Yes</v>
      </c>
      <c r="G185" s="9" t="str">
        <f aca="false">IF($C185="VEN","In-country record","Abroad")</f>
        <v>Abroad</v>
      </c>
      <c r="H185" s="24" t="n">
        <v>360</v>
      </c>
      <c r="I185" s="24" t="n">
        <v>1249</v>
      </c>
      <c r="J185" s="24" t="n">
        <v>779</v>
      </c>
      <c r="K185" s="24" t="n">
        <v>8232</v>
      </c>
      <c r="L185" s="24" t="n">
        <v>192</v>
      </c>
      <c r="M185" s="24" t="n">
        <v>0</v>
      </c>
      <c r="N185" s="24" t="n">
        <v>10812</v>
      </c>
      <c r="O185" s="24" t="n">
        <v>346</v>
      </c>
      <c r="P185" s="24" t="n">
        <v>1323</v>
      </c>
      <c r="Q185" s="24" t="n">
        <v>784</v>
      </c>
      <c r="R185" s="24" t="n">
        <v>7631</v>
      </c>
      <c r="S185" s="24" t="n">
        <v>240</v>
      </c>
      <c r="T185" s="24" t="n">
        <v>0</v>
      </c>
      <c r="U185" s="24" t="n">
        <v>10324</v>
      </c>
      <c r="V185" s="24" t="n">
        <v>35314</v>
      </c>
      <c r="W185" s="24" t="n">
        <f aca="false">N185+U185</f>
        <v>21136</v>
      </c>
      <c r="X185" s="32" t="n">
        <f aca="false">IF(V185&gt;0,W185/V185,0)</f>
        <v>0.59851616922467</v>
      </c>
      <c r="Y185" s="9"/>
    </row>
    <row r="186" customFormat="false" ht="15" hidden="false" customHeight="false" outlineLevel="0" collapsed="false">
      <c r="A186" s="25" t="n">
        <v>2022</v>
      </c>
      <c r="B186" s="9" t="s">
        <v>306</v>
      </c>
      <c r="C186" s="9" t="s">
        <v>192</v>
      </c>
      <c r="D186" s="9" t="str">
        <f aca="false">INDEX(Lookups!$C$5:$C$75,MATCH($C186,Lookups!$A$5:$A$75,0))</f>
        <v>Europe</v>
      </c>
      <c r="E186" s="9" t="str">
        <f aca="false">INDEX(Lookups!$D$5:$D$75,MATCH($C186,Lookups!$A$5:$A$75,0))</f>
        <v>Europe</v>
      </c>
      <c r="F186" s="9" t="str">
        <f aca="false">IF($D186="Latin America &amp; Caribbean","Yes","No")</f>
        <v>No</v>
      </c>
      <c r="G186" s="9" t="str">
        <f aca="false">IF($C186="VEN","In-country record","Abroad")</f>
        <v>Abroad</v>
      </c>
      <c r="H186" s="24" t="n">
        <v>0</v>
      </c>
      <c r="I186" s="24" t="n">
        <v>0</v>
      </c>
      <c r="J186" s="24" t="n">
        <v>0</v>
      </c>
      <c r="K186" s="24" t="n">
        <v>0</v>
      </c>
      <c r="L186" s="24" t="n">
        <v>0</v>
      </c>
      <c r="M186" s="24" t="n">
        <v>0</v>
      </c>
      <c r="N186" s="24" t="n">
        <v>0</v>
      </c>
      <c r="O186" s="24" t="n">
        <v>0</v>
      </c>
      <c r="P186" s="24" t="n">
        <v>0</v>
      </c>
      <c r="Q186" s="24" t="n">
        <v>0</v>
      </c>
      <c r="R186" s="24" t="n">
        <v>0</v>
      </c>
      <c r="S186" s="24" t="n">
        <v>0</v>
      </c>
      <c r="T186" s="24" t="n">
        <v>0</v>
      </c>
      <c r="U186" s="24" t="n">
        <v>0</v>
      </c>
      <c r="V186" s="24" t="n">
        <v>110</v>
      </c>
      <c r="W186" s="24" t="n">
        <f aca="false">N186+U186</f>
        <v>0</v>
      </c>
      <c r="X186" s="32" t="n">
        <f aca="false">IF(V186&gt;0,W186/V186,0)</f>
        <v>0</v>
      </c>
      <c r="Y186" s="9"/>
    </row>
    <row r="187" customFormat="false" ht="15" hidden="false" customHeight="false" outlineLevel="0" collapsed="false">
      <c r="A187" s="25" t="n">
        <v>2022</v>
      </c>
      <c r="B187" s="9" t="s">
        <v>307</v>
      </c>
      <c r="C187" s="9" t="s">
        <v>160</v>
      </c>
      <c r="D187" s="9" t="str">
        <f aca="false">INDEX(Lookups!$C$5:$C$75,MATCH($C187,Lookups!$A$5:$A$75,0))</f>
        <v>North America</v>
      </c>
      <c r="E187" s="9" t="str">
        <f aca="false">INDEX(Lookups!$D$5:$D$75,MATCH($C187,Lookups!$A$5:$A$75,0))</f>
        <v>North America</v>
      </c>
      <c r="F187" s="9" t="str">
        <f aca="false">IF($D187="Latin America &amp; Caribbean","Yes","No")</f>
        <v>No</v>
      </c>
      <c r="G187" s="9" t="str">
        <f aca="false">IF($C187="VEN","In-country record","Abroad")</f>
        <v>Abroad</v>
      </c>
      <c r="H187" s="24" t="n">
        <v>1046</v>
      </c>
      <c r="I187" s="24" t="n">
        <v>3759</v>
      </c>
      <c r="J187" s="24" t="n">
        <v>2615</v>
      </c>
      <c r="K187" s="24" t="n">
        <v>24122</v>
      </c>
      <c r="L187" s="24" t="n">
        <v>1762</v>
      </c>
      <c r="M187" s="24" t="n">
        <v>1427</v>
      </c>
      <c r="N187" s="24" t="n">
        <v>34731</v>
      </c>
      <c r="O187" s="24" t="n">
        <v>1070</v>
      </c>
      <c r="P187" s="24" t="n">
        <v>3796</v>
      </c>
      <c r="Q187" s="24" t="n">
        <v>2833</v>
      </c>
      <c r="R187" s="24" t="n">
        <v>24505</v>
      </c>
      <c r="S187" s="24" t="n">
        <v>1160</v>
      </c>
      <c r="T187" s="24" t="n">
        <v>1680</v>
      </c>
      <c r="U187" s="24" t="n">
        <v>35044</v>
      </c>
      <c r="V187" s="24" t="n">
        <v>393969</v>
      </c>
      <c r="W187" s="24" t="n">
        <f aca="false">N187+U187</f>
        <v>69775</v>
      </c>
      <c r="X187" s="32" t="n">
        <f aca="false">IF(V187&gt;0,W187/V187,0)</f>
        <v>0.17710784351053</v>
      </c>
      <c r="Y187" s="9" t="s">
        <v>248</v>
      </c>
    </row>
    <row r="188" customFormat="false" ht="15" hidden="false" customHeight="false" outlineLevel="0" collapsed="false">
      <c r="A188" s="25" t="n">
        <v>2022</v>
      </c>
      <c r="B188" s="9" t="s">
        <v>308</v>
      </c>
      <c r="C188" s="9" t="s">
        <v>168</v>
      </c>
      <c r="D188" s="9" t="str">
        <f aca="false">INDEX(Lookups!$C$5:$C$75,MATCH($C188,Lookups!$A$5:$A$75,0))</f>
        <v>Latin America &amp; Caribbean</v>
      </c>
      <c r="E188" s="9" t="str">
        <f aca="false">INDEX(Lookups!$D$5:$D$75,MATCH($C188,Lookups!$A$5:$A$75,0))</f>
        <v>Southern Cone &amp; Brazil</v>
      </c>
      <c r="F188" s="9" t="str">
        <f aca="false">IF($D188="Latin America &amp; Caribbean","Yes","No")</f>
        <v>Yes</v>
      </c>
      <c r="G188" s="9" t="str">
        <f aca="false">IF($C188="VEN","In-country record","Abroad")</f>
        <v>Abroad</v>
      </c>
      <c r="H188" s="24" t="n">
        <v>60</v>
      </c>
      <c r="I188" s="24" t="n">
        <v>245</v>
      </c>
      <c r="J188" s="24" t="n">
        <v>128</v>
      </c>
      <c r="K188" s="24" t="n">
        <v>1092</v>
      </c>
      <c r="L188" s="24" t="n">
        <v>75</v>
      </c>
      <c r="M188" s="24" t="n">
        <v>13732</v>
      </c>
      <c r="N188" s="24" t="n">
        <v>15332</v>
      </c>
      <c r="O188" s="24" t="n">
        <v>66</v>
      </c>
      <c r="P188" s="24" t="n">
        <v>233</v>
      </c>
      <c r="Q188" s="24" t="n">
        <v>121</v>
      </c>
      <c r="R188" s="24" t="n">
        <v>1411</v>
      </c>
      <c r="S188" s="24" t="n">
        <v>40</v>
      </c>
      <c r="T188" s="24" t="n">
        <v>9291</v>
      </c>
      <c r="U188" s="24" t="n">
        <v>11162</v>
      </c>
      <c r="V188" s="24" t="n">
        <v>26494</v>
      </c>
      <c r="W188" s="24" t="n">
        <f aca="false">N188+U188</f>
        <v>26494</v>
      </c>
      <c r="X188" s="32" t="n">
        <f aca="false">IF(V188&gt;0,W188/V188,0)</f>
        <v>1</v>
      </c>
      <c r="Y188" s="9"/>
    </row>
    <row r="189" customFormat="false" ht="15" hidden="false" customHeight="false" outlineLevel="0" collapsed="false">
      <c r="A189" s="25" t="n">
        <v>2022</v>
      </c>
      <c r="B189" s="9" t="s">
        <v>309</v>
      </c>
      <c r="C189" s="9" t="s">
        <v>310</v>
      </c>
      <c r="D189" s="9" t="str">
        <f aca="false">INDEX(Lookups!$C$5:$C$75,MATCH($C189,Lookups!$A$5:$A$75,0))</f>
        <v>Venezuela (in-country record)</v>
      </c>
      <c r="E189" s="9" t="str">
        <f aca="false">INDEX(Lookups!$D$5:$D$75,MATCH($C189,Lookups!$A$5:$A$75,0))</f>
        <v>Venezuela (in-country record)</v>
      </c>
      <c r="F189" s="9" t="str">
        <f aca="false">IF($D189="Latin America &amp; Caribbean","Yes","No")</f>
        <v>No</v>
      </c>
      <c r="G189" s="9" t="str">
        <f aca="false">IF($C189="VEN","In-country record","Abroad")</f>
        <v>In-country record</v>
      </c>
      <c r="H189" s="24" t="n">
        <v>89228</v>
      </c>
      <c r="I189" s="24" t="n">
        <v>134666</v>
      </c>
      <c r="J189" s="24" t="n">
        <v>245677</v>
      </c>
      <c r="K189" s="24" t="n">
        <v>1168470</v>
      </c>
      <c r="L189" s="24" t="n">
        <v>110115</v>
      </c>
      <c r="M189" s="24" t="n">
        <v>0</v>
      </c>
      <c r="N189" s="24" t="n">
        <v>1748156</v>
      </c>
      <c r="O189" s="24" t="n">
        <v>86900</v>
      </c>
      <c r="P189" s="24" t="n">
        <v>128506</v>
      </c>
      <c r="Q189" s="24" t="n">
        <v>211717</v>
      </c>
      <c r="R189" s="24" t="n">
        <v>930269</v>
      </c>
      <c r="S189" s="24" t="n">
        <v>101029</v>
      </c>
      <c r="T189" s="24" t="n">
        <v>0</v>
      </c>
      <c r="U189" s="24" t="n">
        <v>1458421</v>
      </c>
      <c r="V189" s="24" t="n">
        <v>3206577</v>
      </c>
      <c r="W189" s="24" t="n">
        <f aca="false">N189+U189</f>
        <v>3206577</v>
      </c>
      <c r="X189" s="32" t="n">
        <f aca="false">IF(V189&gt;0,W189/V189,0)</f>
        <v>1</v>
      </c>
      <c r="Y189" s="9" t="s">
        <v>311</v>
      </c>
    </row>
    <row r="190" customFormat="false" ht="15" hidden="false" customHeight="false" outlineLevel="0" collapsed="false">
      <c r="A190" s="25" t="n">
        <v>2023</v>
      </c>
      <c r="B190" s="9" t="s">
        <v>245</v>
      </c>
      <c r="C190" s="9" t="s">
        <v>204</v>
      </c>
      <c r="D190" s="9" t="str">
        <f aca="false">INDEX(Lookups!$C$5:$C$75,MATCH($C190,Lookups!$A$5:$A$75,0))</f>
        <v>Europe</v>
      </c>
      <c r="E190" s="9" t="str">
        <f aca="false">INDEX(Lookups!$D$5:$D$75,MATCH($C190,Lookups!$A$5:$A$75,0))</f>
        <v>Europe</v>
      </c>
      <c r="F190" s="9" t="str">
        <f aca="false">IF($D190="Latin America &amp; Caribbean","Yes","No")</f>
        <v>No</v>
      </c>
      <c r="G190" s="9" t="str">
        <f aca="false">IF($C190="VEN","In-country record","Abroad")</f>
        <v>Abroad</v>
      </c>
      <c r="H190" s="24" t="n">
        <v>0</v>
      </c>
      <c r="I190" s="24" t="n">
        <v>0</v>
      </c>
      <c r="J190" s="24" t="n">
        <v>0</v>
      </c>
      <c r="K190" s="24" t="n">
        <v>0</v>
      </c>
      <c r="L190" s="24" t="n">
        <v>0</v>
      </c>
      <c r="M190" s="24" t="n">
        <v>0</v>
      </c>
      <c r="N190" s="24" t="n">
        <v>0</v>
      </c>
      <c r="O190" s="24" t="n">
        <v>0</v>
      </c>
      <c r="P190" s="24" t="n">
        <v>0</v>
      </c>
      <c r="Q190" s="24" t="n">
        <v>0</v>
      </c>
      <c r="R190" s="24" t="n">
        <v>0</v>
      </c>
      <c r="S190" s="24" t="n">
        <v>0</v>
      </c>
      <c r="T190" s="24" t="n">
        <v>0</v>
      </c>
      <c r="U190" s="24" t="n">
        <v>0</v>
      </c>
      <c r="V190" s="24" t="n">
        <v>5</v>
      </c>
      <c r="W190" s="24" t="n">
        <f aca="false">N190+U190</f>
        <v>0</v>
      </c>
      <c r="X190" s="32" t="n">
        <f aca="false">IF(V190&gt;0,W190/V190,0)</f>
        <v>0</v>
      </c>
      <c r="Y190" s="9"/>
    </row>
    <row r="191" customFormat="false" ht="15" hidden="false" customHeight="false" outlineLevel="0" collapsed="false">
      <c r="A191" s="25" t="n">
        <v>2023</v>
      </c>
      <c r="B191" s="9" t="s">
        <v>247</v>
      </c>
      <c r="C191" s="9" t="s">
        <v>162</v>
      </c>
      <c r="D191" s="9" t="str">
        <f aca="false">INDEX(Lookups!$C$5:$C$75,MATCH($C191,Lookups!$A$5:$A$75,0))</f>
        <v>Latin America &amp; Caribbean</v>
      </c>
      <c r="E191" s="9" t="str">
        <f aca="false">INDEX(Lookups!$D$5:$D$75,MATCH($C191,Lookups!$A$5:$A$75,0))</f>
        <v>Southern Cone &amp; Brazil</v>
      </c>
      <c r="F191" s="9" t="str">
        <f aca="false">IF($D191="Latin America &amp; Caribbean","Yes","No")</f>
        <v>Yes</v>
      </c>
      <c r="G191" s="9" t="str">
        <f aca="false">IF($C191="VEN","In-country record","Abroad")</f>
        <v>Abroad</v>
      </c>
      <c r="H191" s="24" t="n">
        <v>11</v>
      </c>
      <c r="I191" s="24" t="n">
        <v>157</v>
      </c>
      <c r="J191" s="24" t="n">
        <v>111</v>
      </c>
      <c r="K191" s="24" t="n">
        <v>713</v>
      </c>
      <c r="L191" s="24" t="n">
        <v>60</v>
      </c>
      <c r="M191" s="24" t="n">
        <v>85406</v>
      </c>
      <c r="N191" s="24" t="n">
        <v>86458</v>
      </c>
      <c r="O191" s="24" t="n">
        <v>16</v>
      </c>
      <c r="P191" s="24" t="n">
        <v>187</v>
      </c>
      <c r="Q191" s="24" t="n">
        <v>94</v>
      </c>
      <c r="R191" s="24" t="n">
        <v>798</v>
      </c>
      <c r="S191" s="24" t="n">
        <v>44</v>
      </c>
      <c r="T191" s="24" t="n">
        <v>76633</v>
      </c>
      <c r="U191" s="24" t="n">
        <v>77772</v>
      </c>
      <c r="V191" s="24" t="n">
        <v>217742</v>
      </c>
      <c r="W191" s="24" t="n">
        <f aca="false">N191+U191</f>
        <v>164230</v>
      </c>
      <c r="X191" s="32" t="n">
        <f aca="false">IF(V191&gt;0,W191/V191,0)</f>
        <v>0.75424125800259</v>
      </c>
      <c r="Y191" s="9"/>
    </row>
    <row r="192" customFormat="false" ht="15" hidden="false" customHeight="false" outlineLevel="0" collapsed="false">
      <c r="A192" s="25" t="n">
        <v>2023</v>
      </c>
      <c r="B192" s="9" t="s">
        <v>249</v>
      </c>
      <c r="C192" s="9" t="s">
        <v>173</v>
      </c>
      <c r="D192" s="9" t="str">
        <f aca="false">INDEX(Lookups!$C$5:$C$75,MATCH($C192,Lookups!$A$5:$A$75,0))</f>
        <v>Latin America &amp; Caribbean</v>
      </c>
      <c r="E192" s="9" t="str">
        <f aca="false">INDEX(Lookups!$D$5:$D$75,MATCH($C192,Lookups!$A$5:$A$75,0))</f>
        <v>Caribbean &amp; Guianas</v>
      </c>
      <c r="F192" s="9" t="str">
        <f aca="false">IF($D192="Latin America &amp; Caribbean","Yes","No")</f>
        <v>Yes</v>
      </c>
      <c r="G192" s="9" t="str">
        <f aca="false">IF($C192="VEN","In-country record","Abroad")</f>
        <v>Abroad</v>
      </c>
      <c r="H192" s="24" t="n">
        <v>0</v>
      </c>
      <c r="I192" s="24" t="n">
        <v>0</v>
      </c>
      <c r="J192" s="24" t="n">
        <v>0</v>
      </c>
      <c r="K192" s="24" t="n">
        <v>0</v>
      </c>
      <c r="L192" s="24" t="n">
        <v>0</v>
      </c>
      <c r="M192" s="24" t="n">
        <v>9053</v>
      </c>
      <c r="N192" s="24" t="n">
        <v>9053</v>
      </c>
      <c r="O192" s="24" t="n">
        <v>0</v>
      </c>
      <c r="P192" s="24" t="n">
        <v>0</v>
      </c>
      <c r="Q192" s="24" t="n">
        <v>0</v>
      </c>
      <c r="R192" s="24" t="n">
        <v>0</v>
      </c>
      <c r="S192" s="24" t="n">
        <v>0</v>
      </c>
      <c r="T192" s="24" t="n">
        <v>8032</v>
      </c>
      <c r="U192" s="24" t="n">
        <v>8032</v>
      </c>
      <c r="V192" s="24" t="n">
        <v>17085</v>
      </c>
      <c r="W192" s="24" t="n">
        <f aca="false">N192+U192</f>
        <v>17085</v>
      </c>
      <c r="X192" s="32" t="n">
        <f aca="false">IF(V192&gt;0,W192/V192,0)</f>
        <v>1</v>
      </c>
      <c r="Y192" s="9"/>
    </row>
    <row r="193" customFormat="false" ht="15" hidden="false" customHeight="false" outlineLevel="0" collapsed="false">
      <c r="A193" s="25" t="n">
        <v>2023</v>
      </c>
      <c r="B193" s="9" t="s">
        <v>251</v>
      </c>
      <c r="C193" s="9" t="s">
        <v>184</v>
      </c>
      <c r="D193" s="9" t="str">
        <f aca="false">INDEX(Lookups!$C$5:$C$75,MATCH($C193,Lookups!$A$5:$A$75,0))</f>
        <v>Other regions</v>
      </c>
      <c r="E193" s="9" t="str">
        <f aca="false">INDEX(Lookups!$D$5:$D$75,MATCH($C193,Lookups!$A$5:$A$75,0))</f>
        <v>Rest of world</v>
      </c>
      <c r="F193" s="9" t="str">
        <f aca="false">IF($D193="Latin America &amp; Caribbean","Yes","No")</f>
        <v>No</v>
      </c>
      <c r="G193" s="9" t="str">
        <f aca="false">IF($C193="VEN","In-country record","Abroad")</f>
        <v>Abroad</v>
      </c>
      <c r="H193" s="24" t="n">
        <v>0</v>
      </c>
      <c r="I193" s="24" t="n">
        <v>0</v>
      </c>
      <c r="J193" s="24" t="n">
        <v>0</v>
      </c>
      <c r="K193" s="24" t="n">
        <v>0</v>
      </c>
      <c r="L193" s="24" t="n">
        <v>0</v>
      </c>
      <c r="M193" s="24" t="n">
        <v>0</v>
      </c>
      <c r="N193" s="24" t="n">
        <v>0</v>
      </c>
      <c r="O193" s="24" t="n">
        <v>0</v>
      </c>
      <c r="P193" s="24" t="n">
        <v>0</v>
      </c>
      <c r="Q193" s="24" t="n">
        <v>0</v>
      </c>
      <c r="R193" s="24" t="n">
        <v>0</v>
      </c>
      <c r="S193" s="24" t="n">
        <v>0</v>
      </c>
      <c r="T193" s="24" t="n">
        <v>0</v>
      </c>
      <c r="U193" s="24" t="n">
        <v>0</v>
      </c>
      <c r="V193" s="24" t="n">
        <v>660</v>
      </c>
      <c r="W193" s="24" t="n">
        <f aca="false">N193+U193</f>
        <v>0</v>
      </c>
      <c r="X193" s="32" t="n">
        <f aca="false">IF(V193&gt;0,W193/V193,0)</f>
        <v>0</v>
      </c>
      <c r="Y193" s="9"/>
    </row>
    <row r="194" customFormat="false" ht="15" hidden="false" customHeight="false" outlineLevel="0" collapsed="false">
      <c r="A194" s="25" t="n">
        <v>2023</v>
      </c>
      <c r="B194" s="9" t="s">
        <v>252</v>
      </c>
      <c r="C194" s="9" t="s">
        <v>187</v>
      </c>
      <c r="D194" s="9" t="str">
        <f aca="false">INDEX(Lookups!$C$5:$C$75,MATCH($C194,Lookups!$A$5:$A$75,0))</f>
        <v>Europe</v>
      </c>
      <c r="E194" s="9" t="str">
        <f aca="false">INDEX(Lookups!$D$5:$D$75,MATCH($C194,Lookups!$A$5:$A$75,0))</f>
        <v>Europe</v>
      </c>
      <c r="F194" s="9" t="str">
        <f aca="false">IF($D194="Latin America &amp; Caribbean","Yes","No")</f>
        <v>No</v>
      </c>
      <c r="G194" s="9" t="str">
        <f aca="false">IF($C194="VEN","In-country record","Abroad")</f>
        <v>Abroad</v>
      </c>
      <c r="H194" s="24" t="n">
        <v>9</v>
      </c>
      <c r="I194" s="24" t="n">
        <v>16</v>
      </c>
      <c r="J194" s="24" t="n">
        <v>7</v>
      </c>
      <c r="K194" s="24" t="n">
        <v>27</v>
      </c>
      <c r="L194" s="24" t="n">
        <v>0</v>
      </c>
      <c r="M194" s="24" t="n">
        <v>39</v>
      </c>
      <c r="N194" s="24" t="n">
        <v>98</v>
      </c>
      <c r="O194" s="24" t="n">
        <v>9</v>
      </c>
      <c r="P194" s="24" t="n">
        <v>17</v>
      </c>
      <c r="Q194" s="24" t="n">
        <v>8</v>
      </c>
      <c r="R194" s="24" t="n">
        <v>38</v>
      </c>
      <c r="S194" s="24" t="n">
        <v>0</v>
      </c>
      <c r="T194" s="24" t="n">
        <v>43</v>
      </c>
      <c r="U194" s="24" t="n">
        <v>115</v>
      </c>
      <c r="V194" s="24" t="n">
        <v>213</v>
      </c>
      <c r="W194" s="24" t="n">
        <f aca="false">N194+U194</f>
        <v>213</v>
      </c>
      <c r="X194" s="32" t="n">
        <f aca="false">IF(V194&gt;0,W194/V194,0)</f>
        <v>1</v>
      </c>
      <c r="Y194" s="9"/>
    </row>
    <row r="195" customFormat="false" ht="15" hidden="false" customHeight="false" outlineLevel="0" collapsed="false">
      <c r="A195" s="25" t="n">
        <v>2023</v>
      </c>
      <c r="B195" s="9" t="s">
        <v>253</v>
      </c>
      <c r="C195" s="9" t="s">
        <v>210</v>
      </c>
      <c r="D195" s="9" t="str">
        <f aca="false">INDEX(Lookups!$C$5:$C$75,MATCH($C195,Lookups!$A$5:$A$75,0))</f>
        <v>Latin America &amp; Caribbean</v>
      </c>
      <c r="E195" s="9" t="str">
        <f aca="false">INDEX(Lookups!$D$5:$D$75,MATCH($C195,Lookups!$A$5:$A$75,0))</f>
        <v>Caribbean &amp; Guianas</v>
      </c>
      <c r="F195" s="9" t="str">
        <f aca="false">IF($D195="Latin America &amp; Caribbean","Yes","No")</f>
        <v>Yes</v>
      </c>
      <c r="G195" s="9" t="str">
        <f aca="false">IF($C195="VEN","In-country record","Abroad")</f>
        <v>Abroad</v>
      </c>
      <c r="H195" s="24" t="n">
        <v>0</v>
      </c>
      <c r="I195" s="24" t="n">
        <v>0</v>
      </c>
      <c r="J195" s="24" t="n">
        <v>0</v>
      </c>
      <c r="K195" s="24" t="n">
        <v>0</v>
      </c>
      <c r="L195" s="24" t="n">
        <v>0</v>
      </c>
      <c r="M195" s="24" t="n">
        <v>0</v>
      </c>
      <c r="N195" s="24" t="n">
        <v>0</v>
      </c>
      <c r="O195" s="24" t="n">
        <v>0</v>
      </c>
      <c r="P195" s="24" t="n">
        <v>0</v>
      </c>
      <c r="Q195" s="24" t="n">
        <v>0</v>
      </c>
      <c r="R195" s="24" t="n">
        <v>5</v>
      </c>
      <c r="S195" s="24" t="n">
        <v>0</v>
      </c>
      <c r="T195" s="24" t="n">
        <v>0</v>
      </c>
      <c r="U195" s="24" t="n">
        <v>5</v>
      </c>
      <c r="V195" s="24" t="n">
        <v>5</v>
      </c>
      <c r="W195" s="24" t="n">
        <f aca="false">N195+U195</f>
        <v>5</v>
      </c>
      <c r="X195" s="32" t="n">
        <f aca="false">IF(V195&gt;0,W195/V195,0)</f>
        <v>1</v>
      </c>
      <c r="Y195" s="9"/>
    </row>
    <row r="196" customFormat="false" ht="15" hidden="false" customHeight="false" outlineLevel="0" collapsed="false">
      <c r="A196" s="25" t="n">
        <v>2023</v>
      </c>
      <c r="B196" s="9" t="s">
        <v>254</v>
      </c>
      <c r="C196" s="9" t="s">
        <v>181</v>
      </c>
      <c r="D196" s="9" t="str">
        <f aca="false">INDEX(Lookups!$C$5:$C$75,MATCH($C196,Lookups!$A$5:$A$75,0))</f>
        <v>Europe</v>
      </c>
      <c r="E196" s="9" t="str">
        <f aca="false">INDEX(Lookups!$D$5:$D$75,MATCH($C196,Lookups!$A$5:$A$75,0))</f>
        <v>Europe</v>
      </c>
      <c r="F196" s="9" t="str">
        <f aca="false">IF($D196="Latin America &amp; Caribbean","Yes","No")</f>
        <v>No</v>
      </c>
      <c r="G196" s="9" t="str">
        <f aca="false">IF($C196="VEN","In-country record","Abroad")</f>
        <v>Abroad</v>
      </c>
      <c r="H196" s="24" t="n">
        <v>0</v>
      </c>
      <c r="I196" s="24" t="n">
        <v>0</v>
      </c>
      <c r="J196" s="24" t="n">
        <v>0</v>
      </c>
      <c r="K196" s="24" t="n">
        <v>0</v>
      </c>
      <c r="L196" s="24" t="n">
        <v>0</v>
      </c>
      <c r="M196" s="24" t="n">
        <v>581</v>
      </c>
      <c r="N196" s="24" t="n">
        <v>581</v>
      </c>
      <c r="O196" s="24" t="n">
        <v>0</v>
      </c>
      <c r="P196" s="24" t="n">
        <v>0</v>
      </c>
      <c r="Q196" s="24" t="n">
        <v>0</v>
      </c>
      <c r="R196" s="24" t="n">
        <v>0</v>
      </c>
      <c r="S196" s="24" t="n">
        <v>0</v>
      </c>
      <c r="T196" s="24" t="n">
        <v>570</v>
      </c>
      <c r="U196" s="24" t="n">
        <v>570</v>
      </c>
      <c r="V196" s="24" t="n">
        <v>1151</v>
      </c>
      <c r="W196" s="24" t="n">
        <f aca="false">N196+U196</f>
        <v>1151</v>
      </c>
      <c r="X196" s="32" t="n">
        <f aca="false">IF(V196&gt;0,W196/V196,0)</f>
        <v>1</v>
      </c>
      <c r="Y196" s="9"/>
    </row>
    <row r="197" customFormat="false" ht="15" hidden="false" customHeight="false" outlineLevel="0" collapsed="false">
      <c r="A197" s="25" t="n">
        <v>2023</v>
      </c>
      <c r="B197" s="9" t="s">
        <v>255</v>
      </c>
      <c r="C197" s="9" t="s">
        <v>171</v>
      </c>
      <c r="D197" s="9" t="str">
        <f aca="false">INDEX(Lookups!$C$5:$C$75,MATCH($C197,Lookups!$A$5:$A$75,0))</f>
        <v>Latin America &amp; Caribbean</v>
      </c>
      <c r="E197" s="9" t="str">
        <f aca="false">INDEX(Lookups!$D$5:$D$75,MATCH($C197,Lookups!$A$5:$A$75,0))</f>
        <v>Andean region</v>
      </c>
      <c r="F197" s="9" t="str">
        <f aca="false">IF($D197="Latin America &amp; Caribbean","Yes","No")</f>
        <v>Yes</v>
      </c>
      <c r="G197" s="9" t="str">
        <f aca="false">IF($C197="VEN","In-country record","Abroad")</f>
        <v>Abroad</v>
      </c>
      <c r="H197" s="24" t="n">
        <v>0</v>
      </c>
      <c r="I197" s="24" t="n">
        <v>0</v>
      </c>
      <c r="J197" s="24" t="n">
        <v>0</v>
      </c>
      <c r="K197" s="24" t="n">
        <v>0</v>
      </c>
      <c r="L197" s="24" t="n">
        <v>0</v>
      </c>
      <c r="M197" s="24" t="n">
        <v>7675</v>
      </c>
      <c r="N197" s="24" t="n">
        <v>7675</v>
      </c>
      <c r="O197" s="24" t="n">
        <v>0</v>
      </c>
      <c r="P197" s="24" t="n">
        <v>0</v>
      </c>
      <c r="Q197" s="24" t="n">
        <v>0</v>
      </c>
      <c r="R197" s="24" t="n">
        <v>0</v>
      </c>
      <c r="S197" s="24" t="n">
        <v>0</v>
      </c>
      <c r="T197" s="24" t="n">
        <v>8428</v>
      </c>
      <c r="U197" s="24" t="n">
        <v>8428</v>
      </c>
      <c r="V197" s="24" t="n">
        <v>16350</v>
      </c>
      <c r="W197" s="24" t="n">
        <f aca="false">N197+U197</f>
        <v>16103</v>
      </c>
      <c r="X197" s="32" t="n">
        <f aca="false">IF(V197&gt;0,W197/V197,0)</f>
        <v>0.984892966360856</v>
      </c>
      <c r="Y197" s="9"/>
    </row>
    <row r="198" customFormat="false" ht="15" hidden="false" customHeight="false" outlineLevel="0" collapsed="false">
      <c r="A198" s="25" t="n">
        <v>2023</v>
      </c>
      <c r="B198" s="9" t="s">
        <v>256</v>
      </c>
      <c r="C198" s="9" t="s">
        <v>157</v>
      </c>
      <c r="D198" s="9" t="str">
        <f aca="false">INDEX(Lookups!$C$5:$C$75,MATCH($C198,Lookups!$A$5:$A$75,0))</f>
        <v>Latin America &amp; Caribbean</v>
      </c>
      <c r="E198" s="9" t="str">
        <f aca="false">INDEX(Lookups!$D$5:$D$75,MATCH($C198,Lookups!$A$5:$A$75,0))</f>
        <v>Southern Cone &amp; Brazil</v>
      </c>
      <c r="F198" s="9" t="str">
        <f aca="false">IF($D198="Latin America &amp; Caribbean","Yes","No")</f>
        <v>Yes</v>
      </c>
      <c r="G198" s="9" t="str">
        <f aca="false">IF($C198="VEN","In-country record","Abroad")</f>
        <v>Abroad</v>
      </c>
      <c r="H198" s="24" t="n">
        <v>2958</v>
      </c>
      <c r="I198" s="24" t="n">
        <v>8755</v>
      </c>
      <c r="J198" s="24" t="n">
        <v>6564</v>
      </c>
      <c r="K198" s="24" t="n">
        <v>38714</v>
      </c>
      <c r="L198" s="24" t="n">
        <v>2046</v>
      </c>
      <c r="M198" s="24" t="n">
        <v>0</v>
      </c>
      <c r="N198" s="24" t="n">
        <v>59037</v>
      </c>
      <c r="O198" s="24" t="n">
        <v>2904</v>
      </c>
      <c r="P198" s="24" t="n">
        <v>9084</v>
      </c>
      <c r="Q198" s="24" t="n">
        <v>6909</v>
      </c>
      <c r="R198" s="24" t="n">
        <v>48448</v>
      </c>
      <c r="S198" s="24" t="n">
        <v>1687</v>
      </c>
      <c r="T198" s="24" t="n">
        <v>0</v>
      </c>
      <c r="U198" s="24" t="n">
        <v>69032</v>
      </c>
      <c r="V198" s="24" t="n">
        <v>510499</v>
      </c>
      <c r="W198" s="24" t="n">
        <f aca="false">N198+U198</f>
        <v>128069</v>
      </c>
      <c r="X198" s="32" t="n">
        <f aca="false">IF(V198&gt;0,W198/V198,0)</f>
        <v>0.250870226974</v>
      </c>
      <c r="Y198" s="9"/>
    </row>
    <row r="199" customFormat="false" ht="15" hidden="false" customHeight="false" outlineLevel="0" collapsed="false">
      <c r="A199" s="25" t="n">
        <v>2023</v>
      </c>
      <c r="B199" s="9" t="s">
        <v>257</v>
      </c>
      <c r="C199" s="9" t="s">
        <v>209</v>
      </c>
      <c r="D199" s="9" t="str">
        <f aca="false">INDEX(Lookups!$C$5:$C$75,MATCH($C199,Lookups!$A$5:$A$75,0))</f>
        <v>Europe</v>
      </c>
      <c r="E199" s="9" t="str">
        <f aca="false">INDEX(Lookups!$D$5:$D$75,MATCH($C199,Lookups!$A$5:$A$75,0))</f>
        <v>Europe</v>
      </c>
      <c r="F199" s="9" t="str">
        <f aca="false">IF($D199="Latin America &amp; Caribbean","Yes","No")</f>
        <v>No</v>
      </c>
      <c r="G199" s="9" t="str">
        <f aca="false">IF($C199="VEN","In-country record","Abroad")</f>
        <v>Abroad</v>
      </c>
      <c r="H199" s="24" t="n">
        <v>0</v>
      </c>
      <c r="I199" s="24" t="n">
        <v>0</v>
      </c>
      <c r="J199" s="24" t="n">
        <v>0</v>
      </c>
      <c r="K199" s="24" t="n">
        <v>0</v>
      </c>
      <c r="L199" s="24" t="n">
        <v>0</v>
      </c>
      <c r="M199" s="24" t="n">
        <v>0</v>
      </c>
      <c r="N199" s="24" t="n">
        <v>0</v>
      </c>
      <c r="O199" s="24" t="n">
        <v>0</v>
      </c>
      <c r="P199" s="24" t="n">
        <v>0</v>
      </c>
      <c r="Q199" s="24" t="n">
        <v>0</v>
      </c>
      <c r="R199" s="24" t="n">
        <v>0</v>
      </c>
      <c r="S199" s="24" t="n">
        <v>0</v>
      </c>
      <c r="T199" s="24" t="n">
        <v>0</v>
      </c>
      <c r="U199" s="24" t="n">
        <v>0</v>
      </c>
      <c r="V199" s="24" t="n">
        <v>5</v>
      </c>
      <c r="W199" s="24" t="n">
        <f aca="false">N199+U199</f>
        <v>0</v>
      </c>
      <c r="X199" s="32" t="n">
        <f aca="false">IF(V199&gt;0,W199/V199,0)</f>
        <v>0</v>
      </c>
      <c r="Y199" s="9"/>
    </row>
    <row r="200" customFormat="false" ht="15" hidden="false" customHeight="false" outlineLevel="0" collapsed="false">
      <c r="A200" s="25" t="n">
        <v>2023</v>
      </c>
      <c r="B200" s="9" t="s">
        <v>258</v>
      </c>
      <c r="C200" s="9" t="s">
        <v>176</v>
      </c>
      <c r="D200" s="9" t="str">
        <f aca="false">INDEX(Lookups!$C$5:$C$75,MATCH($C200,Lookups!$A$5:$A$75,0))</f>
        <v>North America</v>
      </c>
      <c r="E200" s="9" t="str">
        <f aca="false">INDEX(Lookups!$D$5:$D$75,MATCH($C200,Lookups!$A$5:$A$75,0))</f>
        <v>North America</v>
      </c>
      <c r="F200" s="9" t="str">
        <f aca="false">IF($D200="Latin America &amp; Caribbean","Yes","No")</f>
        <v>No</v>
      </c>
      <c r="G200" s="9" t="str">
        <f aca="false">IF($C200="VEN","In-country record","Abroad")</f>
        <v>Abroad</v>
      </c>
      <c r="H200" s="24" t="n">
        <v>0</v>
      </c>
      <c r="I200" s="24" t="n">
        <v>0</v>
      </c>
      <c r="J200" s="24" t="n">
        <v>0</v>
      </c>
      <c r="K200" s="24" t="n">
        <v>0</v>
      </c>
      <c r="L200" s="24" t="n">
        <v>0</v>
      </c>
      <c r="M200" s="24" t="n">
        <v>0</v>
      </c>
      <c r="N200" s="24" t="n">
        <v>0</v>
      </c>
      <c r="O200" s="24" t="n">
        <v>0</v>
      </c>
      <c r="P200" s="24" t="n">
        <v>0</v>
      </c>
      <c r="Q200" s="24" t="n">
        <v>0</v>
      </c>
      <c r="R200" s="24" t="n">
        <v>0</v>
      </c>
      <c r="S200" s="24" t="n">
        <v>0</v>
      </c>
      <c r="T200" s="24" t="n">
        <v>0</v>
      </c>
      <c r="U200" s="24" t="n">
        <v>0</v>
      </c>
      <c r="V200" s="24" t="n">
        <v>4932</v>
      </c>
      <c r="W200" s="24" t="n">
        <f aca="false">N200+U200</f>
        <v>0</v>
      </c>
      <c r="X200" s="32" t="n">
        <f aca="false">IF(V200&gt;0,W200/V200,0)</f>
        <v>0</v>
      </c>
      <c r="Y200" s="9" t="s">
        <v>248</v>
      </c>
    </row>
    <row r="201" customFormat="false" ht="15" hidden="false" customHeight="false" outlineLevel="0" collapsed="false">
      <c r="A201" s="25" t="n">
        <v>2023</v>
      </c>
      <c r="B201" s="9" t="s">
        <v>259</v>
      </c>
      <c r="C201" s="9" t="s">
        <v>195</v>
      </c>
      <c r="D201" s="9" t="str">
        <f aca="false">INDEX(Lookups!$C$5:$C$75,MATCH($C201,Lookups!$A$5:$A$75,0))</f>
        <v>Latin America &amp; Caribbean</v>
      </c>
      <c r="E201" s="9" t="str">
        <f aca="false">INDEX(Lookups!$D$5:$D$75,MATCH($C201,Lookups!$A$5:$A$75,0))</f>
        <v>Caribbean &amp; Guianas</v>
      </c>
      <c r="F201" s="9" t="str">
        <f aca="false">IF($D201="Latin America &amp; Caribbean","Yes","No")</f>
        <v>Yes</v>
      </c>
      <c r="G201" s="9" t="str">
        <f aca="false">IF($C201="VEN","In-country record","Abroad")</f>
        <v>Abroad</v>
      </c>
      <c r="H201" s="24" t="n">
        <v>0</v>
      </c>
      <c r="I201" s="24" t="n">
        <v>0</v>
      </c>
      <c r="J201" s="24" t="n">
        <v>0</v>
      </c>
      <c r="K201" s="24" t="n">
        <v>0</v>
      </c>
      <c r="L201" s="24" t="n">
        <v>0</v>
      </c>
      <c r="M201" s="24" t="n">
        <v>0</v>
      </c>
      <c r="N201" s="24" t="n">
        <v>0</v>
      </c>
      <c r="O201" s="24" t="n">
        <v>0</v>
      </c>
      <c r="P201" s="24" t="n">
        <v>0</v>
      </c>
      <c r="Q201" s="24" t="n">
        <v>0</v>
      </c>
      <c r="R201" s="24" t="n">
        <v>0</v>
      </c>
      <c r="S201" s="24" t="n">
        <v>0</v>
      </c>
      <c r="T201" s="24" t="n">
        <v>0</v>
      </c>
      <c r="U201" s="24" t="n">
        <v>0</v>
      </c>
      <c r="V201" s="24" t="n">
        <v>144</v>
      </c>
      <c r="W201" s="24" t="n">
        <f aca="false">N201+U201</f>
        <v>0</v>
      </c>
      <c r="X201" s="32" t="n">
        <f aca="false">IF(V201&gt;0,W201/V201,0)</f>
        <v>0</v>
      </c>
      <c r="Y201" s="9"/>
    </row>
    <row r="202" customFormat="false" ht="15" hidden="false" customHeight="false" outlineLevel="0" collapsed="false">
      <c r="A202" s="25" t="n">
        <v>2023</v>
      </c>
      <c r="B202" s="9" t="s">
        <v>260</v>
      </c>
      <c r="C202" s="9" t="s">
        <v>158</v>
      </c>
      <c r="D202" s="9" t="str">
        <f aca="false">INDEX(Lookups!$C$5:$C$75,MATCH($C202,Lookups!$A$5:$A$75,0))</f>
        <v>Latin America &amp; Caribbean</v>
      </c>
      <c r="E202" s="9" t="str">
        <f aca="false">INDEX(Lookups!$D$5:$D$75,MATCH($C202,Lookups!$A$5:$A$75,0))</f>
        <v>Southern Cone &amp; Brazil</v>
      </c>
      <c r="F202" s="9" t="str">
        <f aca="false">IF($D202="Latin America &amp; Caribbean","Yes","No")</f>
        <v>Yes</v>
      </c>
      <c r="G202" s="9" t="str">
        <f aca="false">IF($C202="VEN","In-country record","Abroad")</f>
        <v>Abroad</v>
      </c>
      <c r="H202" s="24" t="n">
        <v>85</v>
      </c>
      <c r="I202" s="24" t="n">
        <v>459</v>
      </c>
      <c r="J202" s="24" t="n">
        <v>305</v>
      </c>
      <c r="K202" s="24" t="n">
        <v>3255</v>
      </c>
      <c r="L202" s="24" t="n">
        <v>210</v>
      </c>
      <c r="M202" s="24" t="n">
        <v>219957</v>
      </c>
      <c r="N202" s="24" t="n">
        <v>224271</v>
      </c>
      <c r="O202" s="24" t="n">
        <v>84</v>
      </c>
      <c r="P202" s="24" t="n">
        <v>501</v>
      </c>
      <c r="Q202" s="24" t="n">
        <v>293</v>
      </c>
      <c r="R202" s="24" t="n">
        <v>3401</v>
      </c>
      <c r="S202" s="24" t="n">
        <v>102</v>
      </c>
      <c r="T202" s="24" t="n">
        <v>215771</v>
      </c>
      <c r="U202" s="24" t="n">
        <v>220152</v>
      </c>
      <c r="V202" s="24" t="n">
        <v>444423</v>
      </c>
      <c r="W202" s="24" t="n">
        <f aca="false">N202+U202</f>
        <v>444423</v>
      </c>
      <c r="X202" s="32" t="n">
        <f aca="false">IF(V202&gt;0,W202/V202,0)</f>
        <v>1</v>
      </c>
      <c r="Y202" s="9" t="s">
        <v>322</v>
      </c>
    </row>
    <row r="203" customFormat="false" ht="15" hidden="false" customHeight="false" outlineLevel="0" collapsed="false">
      <c r="A203" s="25" t="n">
        <v>2023</v>
      </c>
      <c r="B203" s="9" t="s">
        <v>101</v>
      </c>
      <c r="C203" s="9" t="s">
        <v>155</v>
      </c>
      <c r="D203" s="9" t="str">
        <f aca="false">INDEX(Lookups!$C$5:$C$75,MATCH($C203,Lookups!$A$5:$A$75,0))</f>
        <v>Latin America &amp; Caribbean</v>
      </c>
      <c r="E203" s="9" t="str">
        <f aca="false">INDEX(Lookups!$D$5:$D$75,MATCH($C203,Lookups!$A$5:$A$75,0))</f>
        <v>Andean region</v>
      </c>
      <c r="F203" s="9" t="str">
        <f aca="false">IF($D203="Latin America &amp; Caribbean","Yes","No")</f>
        <v>Yes</v>
      </c>
      <c r="G203" s="9" t="str">
        <f aca="false">IF($C203="VEN","In-country record","Abroad")</f>
        <v>Abroad</v>
      </c>
      <c r="H203" s="24" t="n">
        <v>58917</v>
      </c>
      <c r="I203" s="24" t="n">
        <v>0</v>
      </c>
      <c r="J203" s="24" t="n">
        <v>330618</v>
      </c>
      <c r="K203" s="24" t="n">
        <v>1023603</v>
      </c>
      <c r="L203" s="24" t="n">
        <v>63491</v>
      </c>
      <c r="M203" s="24" t="n">
        <v>284</v>
      </c>
      <c r="N203" s="24" t="n">
        <v>1476913</v>
      </c>
      <c r="O203" s="24" t="n">
        <v>60026</v>
      </c>
      <c r="P203" s="24" t="n">
        <v>0</v>
      </c>
      <c r="Q203" s="24" t="n">
        <v>329189</v>
      </c>
      <c r="R203" s="24" t="n">
        <v>932783</v>
      </c>
      <c r="S203" s="24" t="n">
        <v>41041</v>
      </c>
      <c r="T203" s="24" t="n">
        <v>261</v>
      </c>
      <c r="U203" s="24" t="n">
        <v>1363300</v>
      </c>
      <c r="V203" s="24" t="n">
        <v>2875743</v>
      </c>
      <c r="W203" s="24" t="n">
        <f aca="false">N203+U203</f>
        <v>2840213</v>
      </c>
      <c r="X203" s="32" t="n">
        <f aca="false">IF(V203&gt;0,W203/V203,0)</f>
        <v>0.987644932109719</v>
      </c>
      <c r="Y203" s="9" t="s">
        <v>323</v>
      </c>
    </row>
    <row r="204" customFormat="false" ht="15" hidden="false" customHeight="false" outlineLevel="0" collapsed="false">
      <c r="A204" s="25" t="n">
        <v>2023</v>
      </c>
      <c r="B204" s="9" t="s">
        <v>261</v>
      </c>
      <c r="C204" s="9" t="s">
        <v>166</v>
      </c>
      <c r="D204" s="9" t="str">
        <f aca="false">INDEX(Lookups!$C$5:$C$75,MATCH($C204,Lookups!$A$5:$A$75,0))</f>
        <v>Latin America &amp; Caribbean</v>
      </c>
      <c r="E204" s="9" t="str">
        <f aca="false">INDEX(Lookups!$D$5:$D$75,MATCH($C204,Lookups!$A$5:$A$75,0))</f>
        <v>Central America &amp; Mexico</v>
      </c>
      <c r="F204" s="9" t="str">
        <f aca="false">IF($D204="Latin America &amp; Caribbean","Yes","No")</f>
        <v>Yes</v>
      </c>
      <c r="G204" s="9" t="str">
        <f aca="false">IF($C204="VEN","In-country record","Abroad")</f>
        <v>Abroad</v>
      </c>
      <c r="H204" s="24" t="n">
        <v>23</v>
      </c>
      <c r="I204" s="24" t="n">
        <v>339</v>
      </c>
      <c r="J204" s="24" t="n">
        <v>287</v>
      </c>
      <c r="K204" s="24" t="n">
        <v>2951</v>
      </c>
      <c r="L204" s="24" t="n">
        <v>412</v>
      </c>
      <c r="M204" s="24" t="n">
        <v>9411</v>
      </c>
      <c r="N204" s="24" t="n">
        <v>13423</v>
      </c>
      <c r="O204" s="24" t="n">
        <v>34</v>
      </c>
      <c r="P204" s="24" t="n">
        <v>370</v>
      </c>
      <c r="Q204" s="24" t="n">
        <v>300</v>
      </c>
      <c r="R204" s="24" t="n">
        <v>3796</v>
      </c>
      <c r="S204" s="24" t="n">
        <v>262</v>
      </c>
      <c r="T204" s="24" t="n">
        <v>9037</v>
      </c>
      <c r="U204" s="24" t="n">
        <v>13799</v>
      </c>
      <c r="V204" s="24" t="n">
        <v>31974</v>
      </c>
      <c r="W204" s="24" t="n">
        <f aca="false">N204+U204</f>
        <v>27222</v>
      </c>
      <c r="X204" s="32" t="n">
        <f aca="false">IF(V204&gt;0,W204/V204,0)</f>
        <v>0.85137924563708</v>
      </c>
      <c r="Y204" s="9"/>
    </row>
    <row r="205" customFormat="false" ht="15" hidden="false" customHeight="false" outlineLevel="0" collapsed="false">
      <c r="A205" s="25" t="n">
        <v>2023</v>
      </c>
      <c r="B205" s="9" t="s">
        <v>262</v>
      </c>
      <c r="C205" s="9" t="s">
        <v>177</v>
      </c>
      <c r="D205" s="9" t="str">
        <f aca="false">INDEX(Lookups!$C$5:$C$75,MATCH($C205,Lookups!$A$5:$A$75,0))</f>
        <v>Latin America &amp; Caribbean</v>
      </c>
      <c r="E205" s="9" t="str">
        <f aca="false">INDEX(Lookups!$D$5:$D$75,MATCH($C205,Lookups!$A$5:$A$75,0))</f>
        <v>Caribbean &amp; Guianas</v>
      </c>
      <c r="F205" s="9" t="str">
        <f aca="false">IF($D205="Latin America &amp; Caribbean","Yes","No")</f>
        <v>Yes</v>
      </c>
      <c r="G205" s="9" t="str">
        <f aca="false">IF($C205="VEN","In-country record","Abroad")</f>
        <v>Abroad</v>
      </c>
      <c r="H205" s="24" t="n">
        <v>0</v>
      </c>
      <c r="I205" s="24" t="n">
        <v>0</v>
      </c>
      <c r="J205" s="24" t="n">
        <v>0</v>
      </c>
      <c r="K205" s="24" t="n">
        <v>0</v>
      </c>
      <c r="L205" s="24" t="n">
        <v>0</v>
      </c>
      <c r="M205" s="24" t="n">
        <v>7980</v>
      </c>
      <c r="N205" s="24" t="n">
        <v>7980</v>
      </c>
      <c r="O205" s="24" t="n">
        <v>0</v>
      </c>
      <c r="P205" s="24" t="n">
        <v>0</v>
      </c>
      <c r="Q205" s="24" t="n">
        <v>0</v>
      </c>
      <c r="R205" s="24" t="n">
        <v>0</v>
      </c>
      <c r="S205" s="24" t="n">
        <v>0</v>
      </c>
      <c r="T205" s="24" t="n">
        <v>6020</v>
      </c>
      <c r="U205" s="24" t="n">
        <v>6020</v>
      </c>
      <c r="V205" s="24" t="n">
        <v>14000</v>
      </c>
      <c r="W205" s="24" t="n">
        <f aca="false">N205+U205</f>
        <v>14000</v>
      </c>
      <c r="X205" s="32" t="n">
        <f aca="false">IF(V205&gt;0,W205/V205,0)</f>
        <v>1</v>
      </c>
      <c r="Y205" s="9" t="s">
        <v>312</v>
      </c>
    </row>
    <row r="206" customFormat="false" ht="15" hidden="false" customHeight="false" outlineLevel="0" collapsed="false">
      <c r="A206" s="25" t="n">
        <v>2023</v>
      </c>
      <c r="B206" s="9" t="s">
        <v>263</v>
      </c>
      <c r="C206" s="9" t="s">
        <v>200</v>
      </c>
      <c r="D206" s="9" t="str">
        <f aca="false">INDEX(Lookups!$C$5:$C$75,MATCH($C206,Lookups!$A$5:$A$75,0))</f>
        <v>Europe</v>
      </c>
      <c r="E206" s="9" t="str">
        <f aca="false">INDEX(Lookups!$D$5:$D$75,MATCH($C206,Lookups!$A$5:$A$75,0))</f>
        <v>Europe</v>
      </c>
      <c r="F206" s="9" t="str">
        <f aca="false">IF($D206="Latin America &amp; Caribbean","Yes","No")</f>
        <v>No</v>
      </c>
      <c r="G206" s="9" t="str">
        <f aca="false">IF($C206="VEN","In-country record","Abroad")</f>
        <v>Abroad</v>
      </c>
      <c r="H206" s="24" t="n">
        <v>0</v>
      </c>
      <c r="I206" s="24" t="n">
        <v>0</v>
      </c>
      <c r="J206" s="24" t="n">
        <v>0</v>
      </c>
      <c r="K206" s="24" t="n">
        <v>0</v>
      </c>
      <c r="L206" s="24" t="n">
        <v>0</v>
      </c>
      <c r="M206" s="24" t="n">
        <v>0</v>
      </c>
      <c r="N206" s="24" t="n">
        <v>0</v>
      </c>
      <c r="O206" s="24" t="n">
        <v>0</v>
      </c>
      <c r="P206" s="24" t="n">
        <v>0</v>
      </c>
      <c r="Q206" s="24" t="n">
        <v>0</v>
      </c>
      <c r="R206" s="24" t="n">
        <v>0</v>
      </c>
      <c r="S206" s="24" t="n">
        <v>0</v>
      </c>
      <c r="T206" s="24" t="n">
        <v>0</v>
      </c>
      <c r="U206" s="24" t="n">
        <v>0</v>
      </c>
      <c r="V206" s="24" t="n">
        <v>29</v>
      </c>
      <c r="W206" s="24" t="n">
        <f aca="false">N206+U206</f>
        <v>0</v>
      </c>
      <c r="X206" s="32" t="n">
        <f aca="false">IF(V206&gt;0,W206/V206,0)</f>
        <v>0</v>
      </c>
      <c r="Y206" s="9"/>
    </row>
    <row r="207" customFormat="false" ht="15" hidden="false" customHeight="false" outlineLevel="0" collapsed="false">
      <c r="A207" s="25" t="n">
        <v>2023</v>
      </c>
      <c r="B207" s="9" t="s">
        <v>264</v>
      </c>
      <c r="C207" s="9" t="s">
        <v>203</v>
      </c>
      <c r="D207" s="9" t="str">
        <f aca="false">INDEX(Lookups!$C$5:$C$75,MATCH($C207,Lookups!$A$5:$A$75,0))</f>
        <v>Europe</v>
      </c>
      <c r="E207" s="9" t="str">
        <f aca="false">INDEX(Lookups!$D$5:$D$75,MATCH($C207,Lookups!$A$5:$A$75,0))</f>
        <v>Europe</v>
      </c>
      <c r="F207" s="9" t="str">
        <f aca="false">IF($D207="Latin America &amp; Caribbean","Yes","No")</f>
        <v>No</v>
      </c>
      <c r="G207" s="9" t="str">
        <f aca="false">IF($C207="VEN","In-country record","Abroad")</f>
        <v>Abroad</v>
      </c>
      <c r="H207" s="24" t="n">
        <v>0</v>
      </c>
      <c r="I207" s="24" t="n">
        <v>5</v>
      </c>
      <c r="J207" s="24" t="n">
        <v>0</v>
      </c>
      <c r="K207" s="24" t="n">
        <v>0</v>
      </c>
      <c r="L207" s="24" t="n">
        <v>0</v>
      </c>
      <c r="M207" s="24" t="n">
        <v>0</v>
      </c>
      <c r="N207" s="24" t="n">
        <v>5</v>
      </c>
      <c r="O207" s="24" t="n">
        <v>0</v>
      </c>
      <c r="P207" s="24" t="n">
        <v>0</v>
      </c>
      <c r="Q207" s="24" t="n">
        <v>0</v>
      </c>
      <c r="R207" s="24" t="n">
        <v>0</v>
      </c>
      <c r="S207" s="24" t="n">
        <v>0</v>
      </c>
      <c r="T207" s="24" t="n">
        <v>0</v>
      </c>
      <c r="U207" s="24" t="n">
        <v>0</v>
      </c>
      <c r="V207" s="24" t="n">
        <v>5</v>
      </c>
      <c r="W207" s="24" t="n">
        <f aca="false">N207+U207</f>
        <v>5</v>
      </c>
      <c r="X207" s="32" t="n">
        <f aca="false">IF(V207&gt;0,W207/V207,0)</f>
        <v>1</v>
      </c>
      <c r="Y207" s="9"/>
    </row>
    <row r="208" customFormat="false" ht="15" hidden="false" customHeight="false" outlineLevel="0" collapsed="false">
      <c r="A208" s="25" t="n">
        <v>2023</v>
      </c>
      <c r="B208" s="9" t="s">
        <v>265</v>
      </c>
      <c r="C208" s="9" t="s">
        <v>164</v>
      </c>
      <c r="D208" s="9" t="str">
        <f aca="false">INDEX(Lookups!$C$5:$C$75,MATCH($C208,Lookups!$A$5:$A$75,0))</f>
        <v>Latin America &amp; Caribbean</v>
      </c>
      <c r="E208" s="9" t="str">
        <f aca="false">INDEX(Lookups!$D$5:$D$75,MATCH($C208,Lookups!$A$5:$A$75,0))</f>
        <v>Caribbean &amp; Guianas</v>
      </c>
      <c r="F208" s="9" t="str">
        <f aca="false">IF($D208="Latin America &amp; Caribbean","Yes","No")</f>
        <v>Yes</v>
      </c>
      <c r="G208" s="9" t="str">
        <f aca="false">IF($C208="VEN","In-country record","Abroad")</f>
        <v>Abroad</v>
      </c>
      <c r="H208" s="24" t="n">
        <v>76</v>
      </c>
      <c r="I208" s="24" t="n">
        <v>111</v>
      </c>
      <c r="J208" s="24" t="n">
        <v>97</v>
      </c>
      <c r="K208" s="24" t="n">
        <v>839</v>
      </c>
      <c r="L208" s="24" t="n">
        <v>96</v>
      </c>
      <c r="M208" s="24" t="n">
        <v>0</v>
      </c>
      <c r="N208" s="24" t="n">
        <v>1219</v>
      </c>
      <c r="O208" s="24" t="n">
        <v>62</v>
      </c>
      <c r="P208" s="24" t="n">
        <v>94</v>
      </c>
      <c r="Q208" s="24" t="n">
        <v>108</v>
      </c>
      <c r="R208" s="24" t="n">
        <v>493</v>
      </c>
      <c r="S208" s="24" t="n">
        <v>43</v>
      </c>
      <c r="T208" s="24" t="n">
        <v>0</v>
      </c>
      <c r="U208" s="24" t="n">
        <v>800</v>
      </c>
      <c r="V208" s="24" t="n">
        <v>124141</v>
      </c>
      <c r="W208" s="24" t="n">
        <f aca="false">N208+U208</f>
        <v>2019</v>
      </c>
      <c r="X208" s="32" t="n">
        <f aca="false">IF(V208&gt;0,W208/V208,0)</f>
        <v>0.0162637645902643</v>
      </c>
      <c r="Y208" s="9" t="s">
        <v>248</v>
      </c>
    </row>
    <row r="209" customFormat="false" ht="15" hidden="false" customHeight="false" outlineLevel="0" collapsed="false">
      <c r="A209" s="25" t="n">
        <v>2023</v>
      </c>
      <c r="B209" s="9" t="s">
        <v>266</v>
      </c>
      <c r="C209" s="9" t="s">
        <v>159</v>
      </c>
      <c r="D209" s="9" t="str">
        <f aca="false">INDEX(Lookups!$C$5:$C$75,MATCH($C209,Lookups!$A$5:$A$75,0))</f>
        <v>Latin America &amp; Caribbean</v>
      </c>
      <c r="E209" s="9" t="str">
        <f aca="false">INDEX(Lookups!$D$5:$D$75,MATCH($C209,Lookups!$A$5:$A$75,0))</f>
        <v>Andean region</v>
      </c>
      <c r="F209" s="9" t="str">
        <f aca="false">IF($D209="Latin America &amp; Caribbean","Yes","No")</f>
        <v>Yes</v>
      </c>
      <c r="G209" s="9" t="str">
        <f aca="false">IF($C209="VEN","In-country record","Abroad")</f>
        <v>Abroad</v>
      </c>
      <c r="H209" s="24" t="n">
        <v>36</v>
      </c>
      <c r="I209" s="24" t="n">
        <v>292</v>
      </c>
      <c r="J209" s="24" t="n">
        <v>342</v>
      </c>
      <c r="K209" s="24" t="n">
        <v>1949</v>
      </c>
      <c r="L209" s="24" t="n">
        <v>67</v>
      </c>
      <c r="M209" s="24" t="n">
        <v>252932</v>
      </c>
      <c r="N209" s="24" t="n">
        <v>255618</v>
      </c>
      <c r="O209" s="24" t="n">
        <v>29</v>
      </c>
      <c r="P209" s="24" t="n">
        <v>329</v>
      </c>
      <c r="Q209" s="24" t="n">
        <v>345</v>
      </c>
      <c r="R209" s="24" t="n">
        <v>2052</v>
      </c>
      <c r="S209" s="24" t="n">
        <v>63</v>
      </c>
      <c r="T209" s="24" t="n">
        <v>216509</v>
      </c>
      <c r="U209" s="24" t="n">
        <v>219327</v>
      </c>
      <c r="V209" s="24" t="n">
        <v>474945</v>
      </c>
      <c r="W209" s="24" t="n">
        <f aca="false">N209+U209</f>
        <v>474945</v>
      </c>
      <c r="X209" s="32" t="n">
        <f aca="false">IF(V209&gt;0,W209/V209,0)</f>
        <v>1</v>
      </c>
      <c r="Y209" s="9"/>
    </row>
    <row r="210" customFormat="false" ht="15" hidden="false" customHeight="false" outlineLevel="0" collapsed="false">
      <c r="A210" s="25" t="n">
        <v>2023</v>
      </c>
      <c r="B210" s="9" t="s">
        <v>267</v>
      </c>
      <c r="C210" s="9" t="s">
        <v>197</v>
      </c>
      <c r="D210" s="9" t="str">
        <f aca="false">INDEX(Lookups!$C$5:$C$75,MATCH($C210,Lookups!$A$5:$A$75,0))</f>
        <v>Latin America &amp; Caribbean</v>
      </c>
      <c r="E210" s="9" t="str">
        <f aca="false">INDEX(Lookups!$D$5:$D$75,MATCH($C210,Lookups!$A$5:$A$75,0))</f>
        <v>Central America &amp; Mexico</v>
      </c>
      <c r="F210" s="9" t="str">
        <f aca="false">IF($D210="Latin America &amp; Caribbean","Yes","No")</f>
        <v>Yes</v>
      </c>
      <c r="G210" s="9" t="str">
        <f aca="false">IF($C210="VEN","In-country record","Abroad")</f>
        <v>Abroad</v>
      </c>
      <c r="H210" s="24" t="n">
        <v>7</v>
      </c>
      <c r="I210" s="24" t="n">
        <v>5</v>
      </c>
      <c r="J210" s="24" t="n">
        <v>5</v>
      </c>
      <c r="K210" s="24" t="n">
        <v>24</v>
      </c>
      <c r="L210" s="24" t="n">
        <v>0</v>
      </c>
      <c r="M210" s="24" t="n">
        <v>0</v>
      </c>
      <c r="N210" s="24" t="n">
        <v>41</v>
      </c>
      <c r="O210" s="24" t="n">
        <v>5</v>
      </c>
      <c r="P210" s="24" t="n">
        <v>9</v>
      </c>
      <c r="Q210" s="24" t="n">
        <v>5</v>
      </c>
      <c r="R210" s="24" t="n">
        <v>48</v>
      </c>
      <c r="S210" s="24" t="n">
        <v>0</v>
      </c>
      <c r="T210" s="24" t="n">
        <v>0</v>
      </c>
      <c r="U210" s="24" t="n">
        <v>67</v>
      </c>
      <c r="V210" s="24" t="n">
        <v>108</v>
      </c>
      <c r="W210" s="24" t="n">
        <f aca="false">N210+U210</f>
        <v>108</v>
      </c>
      <c r="X210" s="32" t="n">
        <f aca="false">IF(V210&gt;0,W210/V210,0)</f>
        <v>1</v>
      </c>
      <c r="Y210" s="9"/>
    </row>
    <row r="211" customFormat="false" ht="15" hidden="false" customHeight="false" outlineLevel="0" collapsed="false">
      <c r="A211" s="25" t="n">
        <v>2023</v>
      </c>
      <c r="B211" s="9" t="s">
        <v>268</v>
      </c>
      <c r="C211" s="9" t="s">
        <v>198</v>
      </c>
      <c r="D211" s="9" t="str">
        <f aca="false">INDEX(Lookups!$C$5:$C$75,MATCH($C211,Lookups!$A$5:$A$75,0))</f>
        <v>Europe</v>
      </c>
      <c r="E211" s="9" t="str">
        <f aca="false">INDEX(Lookups!$D$5:$D$75,MATCH($C211,Lookups!$A$5:$A$75,0))</f>
        <v>Europe</v>
      </c>
      <c r="F211" s="9" t="str">
        <f aca="false">IF($D211="Latin America &amp; Caribbean","Yes","No")</f>
        <v>No</v>
      </c>
      <c r="G211" s="9" t="str">
        <f aca="false">IF($C211="VEN","In-country record","Abroad")</f>
        <v>Abroad</v>
      </c>
      <c r="H211" s="24" t="n">
        <v>0</v>
      </c>
      <c r="I211" s="24" t="n">
        <v>0</v>
      </c>
      <c r="J211" s="24" t="n">
        <v>0</v>
      </c>
      <c r="K211" s="24" t="n">
        <v>0</v>
      </c>
      <c r="L211" s="24" t="n">
        <v>0</v>
      </c>
      <c r="M211" s="24" t="n">
        <v>0</v>
      </c>
      <c r="N211" s="24" t="n">
        <v>0</v>
      </c>
      <c r="O211" s="24" t="n">
        <v>0</v>
      </c>
      <c r="P211" s="24" t="n">
        <v>0</v>
      </c>
      <c r="Q211" s="24" t="n">
        <v>0</v>
      </c>
      <c r="R211" s="24" t="n">
        <v>0</v>
      </c>
      <c r="S211" s="24" t="n">
        <v>0</v>
      </c>
      <c r="T211" s="24" t="n">
        <v>0</v>
      </c>
      <c r="U211" s="24" t="n">
        <v>0</v>
      </c>
      <c r="V211" s="24" t="n">
        <v>58</v>
      </c>
      <c r="W211" s="24" t="n">
        <f aca="false">N211+U211</f>
        <v>0</v>
      </c>
      <c r="X211" s="32" t="n">
        <f aca="false">IF(V211&gt;0,W211/V211,0)</f>
        <v>0</v>
      </c>
      <c r="Y211" s="9"/>
    </row>
    <row r="212" customFormat="false" ht="15" hidden="false" customHeight="false" outlineLevel="0" collapsed="false">
      <c r="A212" s="25" t="n">
        <v>2023</v>
      </c>
      <c r="B212" s="9" t="s">
        <v>269</v>
      </c>
      <c r="C212" s="9" t="s">
        <v>179</v>
      </c>
      <c r="D212" s="9" t="str">
        <f aca="false">INDEX(Lookups!$C$5:$C$75,MATCH($C212,Lookups!$A$5:$A$75,0))</f>
        <v>Europe</v>
      </c>
      <c r="E212" s="9" t="str">
        <f aca="false">INDEX(Lookups!$D$5:$D$75,MATCH($C212,Lookups!$A$5:$A$75,0))</f>
        <v>Europe</v>
      </c>
      <c r="F212" s="9" t="str">
        <f aca="false">IF($D212="Latin America &amp; Caribbean","Yes","No")</f>
        <v>No</v>
      </c>
      <c r="G212" s="9" t="str">
        <f aca="false">IF($C212="VEN","In-country record","Abroad")</f>
        <v>Abroad</v>
      </c>
      <c r="H212" s="24" t="n">
        <v>0</v>
      </c>
      <c r="I212" s="24" t="n">
        <v>0</v>
      </c>
      <c r="J212" s="24" t="n">
        <v>0</v>
      </c>
      <c r="K212" s="24" t="n">
        <v>0</v>
      </c>
      <c r="L212" s="24" t="n">
        <v>0</v>
      </c>
      <c r="M212" s="24" t="n">
        <v>1208</v>
      </c>
      <c r="N212" s="24" t="n">
        <v>1208</v>
      </c>
      <c r="O212" s="24" t="n">
        <v>0</v>
      </c>
      <c r="P212" s="24" t="n">
        <v>0</v>
      </c>
      <c r="Q212" s="24" t="n">
        <v>0</v>
      </c>
      <c r="R212" s="24" t="n">
        <v>0</v>
      </c>
      <c r="S212" s="24" t="n">
        <v>0</v>
      </c>
      <c r="T212" s="24" t="n">
        <v>1088</v>
      </c>
      <c r="U212" s="24" t="n">
        <v>1088</v>
      </c>
      <c r="V212" s="24" t="n">
        <v>2656</v>
      </c>
      <c r="W212" s="24" t="n">
        <f aca="false">N212+U212</f>
        <v>2296</v>
      </c>
      <c r="X212" s="32" t="n">
        <f aca="false">IF(V212&gt;0,W212/V212,0)</f>
        <v>0.864457831325301</v>
      </c>
      <c r="Y212" s="9"/>
    </row>
    <row r="213" customFormat="false" ht="15" hidden="false" customHeight="false" outlineLevel="0" collapsed="false">
      <c r="A213" s="25" t="n">
        <v>2023</v>
      </c>
      <c r="B213" s="9" t="s">
        <v>270</v>
      </c>
      <c r="C213" s="9" t="s">
        <v>175</v>
      </c>
      <c r="D213" s="9" t="str">
        <f aca="false">INDEX(Lookups!$C$5:$C$75,MATCH($C213,Lookups!$A$5:$A$75,0))</f>
        <v>Europe</v>
      </c>
      <c r="E213" s="9" t="str">
        <f aca="false">INDEX(Lookups!$D$5:$D$75,MATCH($C213,Lookups!$A$5:$A$75,0))</f>
        <v>Europe</v>
      </c>
      <c r="F213" s="9" t="str">
        <f aca="false">IF($D213="Latin America &amp; Caribbean","Yes","No")</f>
        <v>No</v>
      </c>
      <c r="G213" s="9" t="str">
        <f aca="false">IF($C213="VEN","In-country record","Abroad")</f>
        <v>Abroad</v>
      </c>
      <c r="H213" s="24" t="n">
        <v>162</v>
      </c>
      <c r="I213" s="24" t="n">
        <v>342</v>
      </c>
      <c r="J213" s="24" t="n">
        <v>249</v>
      </c>
      <c r="K213" s="24" t="n">
        <v>2219</v>
      </c>
      <c r="L213" s="24" t="n">
        <v>242</v>
      </c>
      <c r="M213" s="24" t="n">
        <v>0</v>
      </c>
      <c r="N213" s="24" t="n">
        <v>3214</v>
      </c>
      <c r="O213" s="24" t="n">
        <v>166</v>
      </c>
      <c r="P213" s="24" t="n">
        <v>363</v>
      </c>
      <c r="Q213" s="24" t="n">
        <v>279</v>
      </c>
      <c r="R213" s="24" t="n">
        <v>2535</v>
      </c>
      <c r="S213" s="24" t="n">
        <v>111</v>
      </c>
      <c r="T213" s="24" t="n">
        <v>0</v>
      </c>
      <c r="U213" s="24" t="n">
        <v>3454</v>
      </c>
      <c r="V213" s="24" t="n">
        <v>6678</v>
      </c>
      <c r="W213" s="24" t="n">
        <f aca="false">N213+U213</f>
        <v>6668</v>
      </c>
      <c r="X213" s="32" t="n">
        <f aca="false">IF(V213&gt;0,W213/V213,0)</f>
        <v>0.998502545672357</v>
      </c>
      <c r="Y213" s="9"/>
    </row>
    <row r="214" customFormat="false" ht="15" hidden="false" customHeight="false" outlineLevel="0" collapsed="false">
      <c r="A214" s="25" t="n">
        <v>2023</v>
      </c>
      <c r="B214" s="9" t="s">
        <v>271</v>
      </c>
      <c r="C214" s="9" t="s">
        <v>199</v>
      </c>
      <c r="D214" s="9" t="str">
        <f aca="false">INDEX(Lookups!$C$5:$C$75,MATCH($C214,Lookups!$A$5:$A$75,0))</f>
        <v>Europe</v>
      </c>
      <c r="E214" s="9" t="str">
        <f aca="false">INDEX(Lookups!$D$5:$D$75,MATCH($C214,Lookups!$A$5:$A$75,0))</f>
        <v>Europe</v>
      </c>
      <c r="F214" s="9" t="str">
        <f aca="false">IF($D214="Latin America &amp; Caribbean","Yes","No")</f>
        <v>No</v>
      </c>
      <c r="G214" s="9" t="str">
        <f aca="false">IF($C214="VEN","In-country record","Abroad")</f>
        <v>Abroad</v>
      </c>
      <c r="H214" s="24" t="n">
        <v>0</v>
      </c>
      <c r="I214" s="24" t="n">
        <v>0</v>
      </c>
      <c r="J214" s="24" t="n">
        <v>0</v>
      </c>
      <c r="K214" s="24" t="n">
        <v>7</v>
      </c>
      <c r="L214" s="24" t="n">
        <v>0</v>
      </c>
      <c r="M214" s="24" t="n">
        <v>6</v>
      </c>
      <c r="N214" s="24" t="n">
        <v>13</v>
      </c>
      <c r="O214" s="24" t="n">
        <v>0</v>
      </c>
      <c r="P214" s="24" t="n">
        <v>0</v>
      </c>
      <c r="Q214" s="24" t="n">
        <v>0</v>
      </c>
      <c r="R214" s="24" t="n">
        <v>8</v>
      </c>
      <c r="S214" s="24" t="n">
        <v>0</v>
      </c>
      <c r="T214" s="24" t="n">
        <v>5</v>
      </c>
      <c r="U214" s="24" t="n">
        <v>13</v>
      </c>
      <c r="V214" s="24" t="n">
        <v>26</v>
      </c>
      <c r="W214" s="24" t="n">
        <f aca="false">N214+U214</f>
        <v>26</v>
      </c>
      <c r="X214" s="32" t="n">
        <f aca="false">IF(V214&gt;0,W214/V214,0)</f>
        <v>1</v>
      </c>
      <c r="Y214" s="9"/>
    </row>
    <row r="215" customFormat="false" ht="15" hidden="false" customHeight="false" outlineLevel="0" collapsed="false">
      <c r="A215" s="25" t="n">
        <v>2023</v>
      </c>
      <c r="B215" s="9" t="s">
        <v>273</v>
      </c>
      <c r="C215" s="9" t="s">
        <v>172</v>
      </c>
      <c r="D215" s="9" t="str">
        <f aca="false">INDEX(Lookups!$C$5:$C$75,MATCH($C215,Lookups!$A$5:$A$75,0))</f>
        <v>Latin America &amp; Caribbean</v>
      </c>
      <c r="E215" s="9" t="str">
        <f aca="false">INDEX(Lookups!$D$5:$D$75,MATCH($C215,Lookups!$A$5:$A$75,0))</f>
        <v>Central America &amp; Mexico</v>
      </c>
      <c r="F215" s="9" t="str">
        <f aca="false">IF($D215="Latin America &amp; Caribbean","Yes","No")</f>
        <v>Yes</v>
      </c>
      <c r="G215" s="9" t="str">
        <f aca="false">IF($C215="VEN","In-country record","Abroad")</f>
        <v>Abroad</v>
      </c>
      <c r="H215" s="24" t="n">
        <v>171</v>
      </c>
      <c r="I215" s="24" t="n">
        <v>190</v>
      </c>
      <c r="J215" s="24" t="n">
        <v>1135</v>
      </c>
      <c r="K215" s="24" t="n">
        <v>3718</v>
      </c>
      <c r="L215" s="24" t="n">
        <v>14</v>
      </c>
      <c r="M215" s="24" t="n">
        <v>0</v>
      </c>
      <c r="N215" s="24" t="n">
        <v>5228</v>
      </c>
      <c r="O215" s="24" t="n">
        <v>222</v>
      </c>
      <c r="P215" s="24" t="n">
        <v>249</v>
      </c>
      <c r="Q215" s="24" t="n">
        <v>1488</v>
      </c>
      <c r="R215" s="24" t="n">
        <v>4896</v>
      </c>
      <c r="S215" s="24" t="n">
        <v>10</v>
      </c>
      <c r="T215" s="24" t="n">
        <v>0</v>
      </c>
      <c r="U215" s="24" t="n">
        <v>6865</v>
      </c>
      <c r="V215" s="24" t="n">
        <v>12093</v>
      </c>
      <c r="W215" s="24" t="n">
        <f aca="false">N215+U215</f>
        <v>12093</v>
      </c>
      <c r="X215" s="32" t="n">
        <f aca="false">IF(V215&gt;0,W215/V215,0)</f>
        <v>1</v>
      </c>
      <c r="Y215" s="9" t="s">
        <v>319</v>
      </c>
    </row>
    <row r="216" customFormat="false" ht="15" hidden="false" customHeight="false" outlineLevel="0" collapsed="false">
      <c r="A216" s="25" t="n">
        <v>2023</v>
      </c>
      <c r="B216" s="9" t="s">
        <v>274</v>
      </c>
      <c r="C216" s="9" t="s">
        <v>169</v>
      </c>
      <c r="D216" s="9" t="str">
        <f aca="false">INDEX(Lookups!$C$5:$C$75,MATCH($C216,Lookups!$A$5:$A$75,0))</f>
        <v>Latin America &amp; Caribbean</v>
      </c>
      <c r="E216" s="9" t="str">
        <f aca="false">INDEX(Lookups!$D$5:$D$75,MATCH($C216,Lookups!$A$5:$A$75,0))</f>
        <v>Caribbean &amp; Guianas</v>
      </c>
      <c r="F216" s="9" t="str">
        <f aca="false">IF($D216="Latin America &amp; Caribbean","Yes","No")</f>
        <v>Yes</v>
      </c>
      <c r="G216" s="9" t="str">
        <f aca="false">IF($C216="VEN","In-country record","Abroad")</f>
        <v>Abroad</v>
      </c>
      <c r="H216" s="24" t="n">
        <v>0</v>
      </c>
      <c r="I216" s="24" t="n">
        <v>0</v>
      </c>
      <c r="J216" s="24" t="n">
        <v>0</v>
      </c>
      <c r="K216" s="24" t="n">
        <v>0</v>
      </c>
      <c r="L216" s="24" t="n">
        <v>0</v>
      </c>
      <c r="M216" s="24" t="n">
        <v>0</v>
      </c>
      <c r="N216" s="24" t="n">
        <v>0</v>
      </c>
      <c r="O216" s="24" t="n">
        <v>0</v>
      </c>
      <c r="P216" s="24" t="n">
        <v>0</v>
      </c>
      <c r="Q216" s="24" t="n">
        <v>7</v>
      </c>
      <c r="R216" s="24" t="n">
        <v>0</v>
      </c>
      <c r="S216" s="24" t="n">
        <v>0</v>
      </c>
      <c r="T216" s="24" t="n">
        <v>0</v>
      </c>
      <c r="U216" s="24" t="n">
        <v>7</v>
      </c>
      <c r="V216" s="24" t="n">
        <v>21675</v>
      </c>
      <c r="W216" s="24" t="n">
        <f aca="false">N216+U216</f>
        <v>7</v>
      </c>
      <c r="X216" s="32" t="n">
        <f aca="false">IF(V216&gt;0,W216/V216,0)</f>
        <v>0.000322952710495963</v>
      </c>
      <c r="Y216" s="9" t="s">
        <v>248</v>
      </c>
    </row>
    <row r="217" customFormat="false" ht="15" hidden="false" customHeight="false" outlineLevel="0" collapsed="false">
      <c r="A217" s="25" t="n">
        <v>2023</v>
      </c>
      <c r="B217" s="9" t="s">
        <v>275</v>
      </c>
      <c r="C217" s="9" t="s">
        <v>170</v>
      </c>
      <c r="D217" s="9" t="str">
        <f aca="false">INDEX(Lookups!$C$5:$C$75,MATCH($C217,Lookups!$A$5:$A$75,0))</f>
        <v>Latin America &amp; Caribbean</v>
      </c>
      <c r="E217" s="9" t="str">
        <f aca="false">INDEX(Lookups!$D$5:$D$75,MATCH($C217,Lookups!$A$5:$A$75,0))</f>
        <v>Central America &amp; Mexico</v>
      </c>
      <c r="F217" s="9" t="str">
        <f aca="false">IF($D217="Latin America &amp; Caribbean","Yes","No")</f>
        <v>Yes</v>
      </c>
      <c r="G217" s="9" t="str">
        <f aca="false">IF($C217="VEN","In-country record","Abroad")</f>
        <v>Abroad</v>
      </c>
      <c r="H217" s="24" t="n">
        <v>0</v>
      </c>
      <c r="I217" s="24" t="n">
        <v>0</v>
      </c>
      <c r="J217" s="24" t="n">
        <v>0</v>
      </c>
      <c r="K217" s="24" t="n">
        <v>11</v>
      </c>
      <c r="L217" s="24" t="n">
        <v>0</v>
      </c>
      <c r="M217" s="24" t="n">
        <v>0</v>
      </c>
      <c r="N217" s="24" t="n">
        <v>11</v>
      </c>
      <c r="O217" s="24" t="n">
        <v>5</v>
      </c>
      <c r="P217" s="24" t="n">
        <v>0</v>
      </c>
      <c r="Q217" s="24" t="n">
        <v>0</v>
      </c>
      <c r="R217" s="24" t="n">
        <v>17</v>
      </c>
      <c r="S217" s="24" t="n">
        <v>0</v>
      </c>
      <c r="T217" s="24" t="n">
        <v>0</v>
      </c>
      <c r="U217" s="24" t="n">
        <v>22</v>
      </c>
      <c r="V217" s="24" t="n">
        <v>60995</v>
      </c>
      <c r="W217" s="24" t="n">
        <f aca="false">N217+U217</f>
        <v>33</v>
      </c>
      <c r="X217" s="32" t="n">
        <f aca="false">IF(V217&gt;0,W217/V217,0)</f>
        <v>0.000541027953110911</v>
      </c>
      <c r="Y217" s="9" t="s">
        <v>320</v>
      </c>
    </row>
    <row r="218" customFormat="false" ht="15" hidden="false" customHeight="false" outlineLevel="0" collapsed="false">
      <c r="A218" s="25" t="n">
        <v>2023</v>
      </c>
      <c r="B218" s="9" t="s">
        <v>276</v>
      </c>
      <c r="C218" s="9" t="s">
        <v>180</v>
      </c>
      <c r="D218" s="9" t="str">
        <f aca="false">INDEX(Lookups!$C$5:$C$75,MATCH($C218,Lookups!$A$5:$A$75,0))</f>
        <v>Europe</v>
      </c>
      <c r="E218" s="9" t="str">
        <f aca="false">INDEX(Lookups!$D$5:$D$75,MATCH($C218,Lookups!$A$5:$A$75,0))</f>
        <v>Europe</v>
      </c>
      <c r="F218" s="9" t="str">
        <f aca="false">IF($D218="Latin America &amp; Caribbean","Yes","No")</f>
        <v>No</v>
      </c>
      <c r="G218" s="9" t="str">
        <f aca="false">IF($C218="VEN","In-country record","Abroad")</f>
        <v>Abroad</v>
      </c>
      <c r="H218" s="24" t="n">
        <v>0</v>
      </c>
      <c r="I218" s="24" t="n">
        <v>0</v>
      </c>
      <c r="J218" s="24" t="n">
        <v>0</v>
      </c>
      <c r="K218" s="24" t="n">
        <v>0</v>
      </c>
      <c r="L218" s="24" t="n">
        <v>0</v>
      </c>
      <c r="M218" s="24" t="n">
        <v>1034</v>
      </c>
      <c r="N218" s="24" t="n">
        <v>1034</v>
      </c>
      <c r="O218" s="24" t="n">
        <v>0</v>
      </c>
      <c r="P218" s="24" t="n">
        <v>0</v>
      </c>
      <c r="Q218" s="24" t="n">
        <v>0</v>
      </c>
      <c r="R218" s="24" t="n">
        <v>0</v>
      </c>
      <c r="S218" s="24" t="n">
        <v>0</v>
      </c>
      <c r="T218" s="24" t="n">
        <v>994</v>
      </c>
      <c r="U218" s="24" t="n">
        <v>994</v>
      </c>
      <c r="V218" s="24" t="n">
        <v>3249</v>
      </c>
      <c r="W218" s="24" t="n">
        <f aca="false">N218+U218</f>
        <v>2028</v>
      </c>
      <c r="X218" s="32" t="n">
        <f aca="false">IF(V218&gt;0,W218/V218,0)</f>
        <v>0.624192059095106</v>
      </c>
      <c r="Y218" s="9"/>
    </row>
    <row r="219" customFormat="false" ht="15" hidden="false" customHeight="false" outlineLevel="0" collapsed="false">
      <c r="A219" s="25" t="n">
        <v>2023</v>
      </c>
      <c r="B219" s="9" t="s">
        <v>277</v>
      </c>
      <c r="C219" s="9" t="s">
        <v>202</v>
      </c>
      <c r="D219" s="9" t="str">
        <f aca="false">INDEX(Lookups!$C$5:$C$75,MATCH($C219,Lookups!$A$5:$A$75,0))</f>
        <v>Other regions</v>
      </c>
      <c r="E219" s="9" t="str">
        <f aca="false">INDEX(Lookups!$D$5:$D$75,MATCH($C219,Lookups!$A$5:$A$75,0))</f>
        <v>Rest of world</v>
      </c>
      <c r="F219" s="9" t="str">
        <f aca="false">IF($D219="Latin America &amp; Caribbean","Yes","No")</f>
        <v>No</v>
      </c>
      <c r="G219" s="9" t="str">
        <f aca="false">IF($C219="VEN","In-country record","Abroad")</f>
        <v>Abroad</v>
      </c>
      <c r="H219" s="24" t="n">
        <v>0</v>
      </c>
      <c r="I219" s="24" t="n">
        <v>0</v>
      </c>
      <c r="J219" s="24" t="n">
        <v>0</v>
      </c>
      <c r="K219" s="24" t="n">
        <v>10</v>
      </c>
      <c r="L219" s="24" t="n">
        <v>0</v>
      </c>
      <c r="M219" s="24" t="n">
        <v>0</v>
      </c>
      <c r="N219" s="24" t="n">
        <v>10</v>
      </c>
      <c r="O219" s="24" t="n">
        <v>0</v>
      </c>
      <c r="P219" s="24" t="n">
        <v>0</v>
      </c>
      <c r="Q219" s="24" t="n">
        <v>0</v>
      </c>
      <c r="R219" s="24" t="n">
        <v>0</v>
      </c>
      <c r="S219" s="24" t="n">
        <v>0</v>
      </c>
      <c r="T219" s="24" t="n">
        <v>0</v>
      </c>
      <c r="U219" s="24" t="n">
        <v>0</v>
      </c>
      <c r="V219" s="24" t="n">
        <v>10</v>
      </c>
      <c r="W219" s="24" t="n">
        <f aca="false">N219+U219</f>
        <v>10</v>
      </c>
      <c r="X219" s="32" t="n">
        <f aca="false">IF(V219&gt;0,W219/V219,0)</f>
        <v>1</v>
      </c>
      <c r="Y219" s="9"/>
    </row>
    <row r="220" customFormat="false" ht="15" hidden="false" customHeight="false" outlineLevel="0" collapsed="false">
      <c r="A220" s="25" t="n">
        <v>2023</v>
      </c>
      <c r="B220" s="9" t="s">
        <v>278</v>
      </c>
      <c r="C220" s="9" t="s">
        <v>220</v>
      </c>
      <c r="D220" s="9" t="str">
        <f aca="false">INDEX(Lookups!$C$5:$C$75,MATCH($C220,Lookups!$A$5:$A$75,0))</f>
        <v>Other regions</v>
      </c>
      <c r="E220" s="9" t="str">
        <f aca="false">INDEX(Lookups!$D$5:$D$75,MATCH($C220,Lookups!$A$5:$A$75,0))</f>
        <v>Rest of world</v>
      </c>
      <c r="F220" s="9" t="str">
        <f aca="false">IF($D220="Latin America &amp; Caribbean","Yes","No")</f>
        <v>No</v>
      </c>
      <c r="G220" s="9" t="str">
        <f aca="false">IF($C220="VEN","In-country record","Abroad")</f>
        <v>Abroad</v>
      </c>
      <c r="H220" s="24" t="n">
        <v>0</v>
      </c>
      <c r="I220" s="24" t="n">
        <v>0</v>
      </c>
      <c r="J220" s="24" t="n">
        <v>0</v>
      </c>
      <c r="K220" s="24" t="n">
        <v>0</v>
      </c>
      <c r="L220" s="24" t="n">
        <v>0</v>
      </c>
      <c r="M220" s="24" t="n">
        <v>0</v>
      </c>
      <c r="N220" s="24" t="n">
        <v>0</v>
      </c>
      <c r="O220" s="24" t="n">
        <v>0</v>
      </c>
      <c r="P220" s="24" t="n">
        <v>0</v>
      </c>
      <c r="Q220" s="24" t="n">
        <v>0</v>
      </c>
      <c r="R220" s="24" t="n">
        <v>5</v>
      </c>
      <c r="S220" s="24" t="n">
        <v>0</v>
      </c>
      <c r="T220" s="24" t="n">
        <v>0</v>
      </c>
      <c r="U220" s="24" t="n">
        <v>5</v>
      </c>
      <c r="V220" s="24" t="n">
        <v>5</v>
      </c>
      <c r="W220" s="24" t="n">
        <f aca="false">N220+U220</f>
        <v>5</v>
      </c>
      <c r="X220" s="32" t="n">
        <f aca="false">IF(V220&gt;0,W220/V220,0)</f>
        <v>1</v>
      </c>
      <c r="Y220" s="9"/>
    </row>
    <row r="221" customFormat="false" ht="15" hidden="false" customHeight="false" outlineLevel="0" collapsed="false">
      <c r="A221" s="25" t="n">
        <v>2023</v>
      </c>
      <c r="B221" s="9" t="s">
        <v>279</v>
      </c>
      <c r="C221" s="9" t="s">
        <v>190</v>
      </c>
      <c r="D221" s="9" t="str">
        <f aca="false">INDEX(Lookups!$C$5:$C$75,MATCH($C221,Lookups!$A$5:$A$75,0))</f>
        <v>Europe</v>
      </c>
      <c r="E221" s="9" t="str">
        <f aca="false">INDEX(Lookups!$D$5:$D$75,MATCH($C221,Lookups!$A$5:$A$75,0))</f>
        <v>Europe</v>
      </c>
      <c r="F221" s="9" t="str">
        <f aca="false">IF($D221="Latin America &amp; Caribbean","Yes","No")</f>
        <v>No</v>
      </c>
      <c r="G221" s="9" t="str">
        <f aca="false">IF($C221="VEN","In-country record","Abroad")</f>
        <v>Abroad</v>
      </c>
      <c r="H221" s="24" t="n">
        <v>0</v>
      </c>
      <c r="I221" s="24" t="n">
        <v>8</v>
      </c>
      <c r="J221" s="24" t="n">
        <v>0</v>
      </c>
      <c r="K221" s="24" t="n">
        <v>77</v>
      </c>
      <c r="L221" s="24" t="n">
        <v>18</v>
      </c>
      <c r="M221" s="24" t="n">
        <v>0</v>
      </c>
      <c r="N221" s="24" t="n">
        <v>103</v>
      </c>
      <c r="O221" s="24" t="n">
        <v>0</v>
      </c>
      <c r="P221" s="24" t="n">
        <v>6</v>
      </c>
      <c r="Q221" s="24" t="n">
        <v>5</v>
      </c>
      <c r="R221" s="24" t="n">
        <v>96</v>
      </c>
      <c r="S221" s="24" t="n">
        <v>5</v>
      </c>
      <c r="T221" s="24" t="n">
        <v>0</v>
      </c>
      <c r="U221" s="24" t="n">
        <v>112</v>
      </c>
      <c r="V221" s="24" t="n">
        <v>215</v>
      </c>
      <c r="W221" s="24" t="n">
        <f aca="false">N221+U221</f>
        <v>215</v>
      </c>
      <c r="X221" s="32" t="n">
        <f aca="false">IF(V221&gt;0,W221/V221,0)</f>
        <v>1</v>
      </c>
      <c r="Y221" s="9"/>
    </row>
    <row r="222" customFormat="false" ht="15" hidden="false" customHeight="false" outlineLevel="0" collapsed="false">
      <c r="A222" s="25" t="n">
        <v>2023</v>
      </c>
      <c r="B222" s="9" t="s">
        <v>281</v>
      </c>
      <c r="C222" s="9" t="s">
        <v>174</v>
      </c>
      <c r="D222" s="9" t="str">
        <f aca="false">INDEX(Lookups!$C$5:$C$75,MATCH($C222,Lookups!$A$5:$A$75,0))</f>
        <v>Europe</v>
      </c>
      <c r="E222" s="9" t="str">
        <f aca="false">INDEX(Lookups!$D$5:$D$75,MATCH($C222,Lookups!$A$5:$A$75,0))</f>
        <v>Europe</v>
      </c>
      <c r="F222" s="9" t="str">
        <f aca="false">IF($D222="Latin America &amp; Caribbean","Yes","No")</f>
        <v>No</v>
      </c>
      <c r="G222" s="9" t="str">
        <f aca="false">IF($C222="VEN","In-country record","Abroad")</f>
        <v>Abroad</v>
      </c>
      <c r="H222" s="24" t="n">
        <v>0</v>
      </c>
      <c r="I222" s="24" t="n">
        <v>0</v>
      </c>
      <c r="J222" s="24" t="n">
        <v>0</v>
      </c>
      <c r="K222" s="24" t="n">
        <v>0</v>
      </c>
      <c r="L222" s="24" t="n">
        <v>0</v>
      </c>
      <c r="M222" s="24" t="n">
        <v>835</v>
      </c>
      <c r="N222" s="24" t="n">
        <v>835</v>
      </c>
      <c r="O222" s="24" t="n">
        <v>0</v>
      </c>
      <c r="P222" s="24" t="n">
        <v>0</v>
      </c>
      <c r="Q222" s="24" t="n">
        <v>0</v>
      </c>
      <c r="R222" s="24" t="n">
        <v>0</v>
      </c>
      <c r="S222" s="24" t="n">
        <v>0</v>
      </c>
      <c r="T222" s="24" t="n">
        <v>780</v>
      </c>
      <c r="U222" s="24" t="n">
        <v>780</v>
      </c>
      <c r="V222" s="24" t="n">
        <v>5773</v>
      </c>
      <c r="W222" s="24" t="n">
        <f aca="false">N222+U222</f>
        <v>1615</v>
      </c>
      <c r="X222" s="32" t="n">
        <f aca="false">IF(V222&gt;0,W222/V222,0)</f>
        <v>0.279750562965529</v>
      </c>
      <c r="Y222" s="9"/>
    </row>
    <row r="223" customFormat="false" ht="15" hidden="false" customHeight="false" outlineLevel="0" collapsed="false">
      <c r="A223" s="25" t="n">
        <v>2023</v>
      </c>
      <c r="B223" s="9" t="s">
        <v>285</v>
      </c>
      <c r="C223" s="9" t="s">
        <v>186</v>
      </c>
      <c r="D223" s="9" t="str">
        <f aca="false">INDEX(Lookups!$C$5:$C$75,MATCH($C223,Lookups!$A$5:$A$75,0))</f>
        <v>Europe</v>
      </c>
      <c r="E223" s="9" t="str">
        <f aca="false">INDEX(Lookups!$D$5:$D$75,MATCH($C223,Lookups!$A$5:$A$75,0))</f>
        <v>Europe</v>
      </c>
      <c r="F223" s="9" t="str">
        <f aca="false">IF($D223="Latin America &amp; Caribbean","Yes","No")</f>
        <v>No</v>
      </c>
      <c r="G223" s="9" t="str">
        <f aca="false">IF($C223="VEN","In-country record","Abroad")</f>
        <v>Abroad</v>
      </c>
      <c r="H223" s="24" t="n">
        <v>0</v>
      </c>
      <c r="I223" s="24" t="n">
        <v>0</v>
      </c>
      <c r="J223" s="24" t="n">
        <v>0</v>
      </c>
      <c r="K223" s="24" t="n">
        <v>0</v>
      </c>
      <c r="L223" s="24" t="n">
        <v>0</v>
      </c>
      <c r="M223" s="24" t="n">
        <v>119</v>
      </c>
      <c r="N223" s="24" t="n">
        <v>119</v>
      </c>
      <c r="O223" s="24" t="n">
        <v>0</v>
      </c>
      <c r="P223" s="24" t="n">
        <v>0</v>
      </c>
      <c r="Q223" s="24" t="n">
        <v>0</v>
      </c>
      <c r="R223" s="24" t="n">
        <v>0</v>
      </c>
      <c r="S223" s="24" t="n">
        <v>0</v>
      </c>
      <c r="T223" s="24" t="n">
        <v>151</v>
      </c>
      <c r="U223" s="24" t="n">
        <v>151</v>
      </c>
      <c r="V223" s="24" t="n">
        <v>278</v>
      </c>
      <c r="W223" s="24" t="n">
        <f aca="false">N223+U223</f>
        <v>270</v>
      </c>
      <c r="X223" s="32" t="n">
        <f aca="false">IF(V223&gt;0,W223/V223,0)</f>
        <v>0.971223021582734</v>
      </c>
      <c r="Y223" s="9"/>
    </row>
    <row r="224" customFormat="false" ht="15" hidden="false" customHeight="false" outlineLevel="0" collapsed="false">
      <c r="A224" s="25" t="n">
        <v>2023</v>
      </c>
      <c r="B224" s="9" t="s">
        <v>286</v>
      </c>
      <c r="C224" s="9" t="s">
        <v>194</v>
      </c>
      <c r="D224" s="9" t="str">
        <f aca="false">INDEX(Lookups!$C$5:$C$75,MATCH($C224,Lookups!$A$5:$A$75,0))</f>
        <v>Europe</v>
      </c>
      <c r="E224" s="9" t="str">
        <f aca="false">INDEX(Lookups!$D$5:$D$75,MATCH($C224,Lookups!$A$5:$A$75,0))</f>
        <v>Europe</v>
      </c>
      <c r="F224" s="9" t="str">
        <f aca="false">IF($D224="Latin America &amp; Caribbean","Yes","No")</f>
        <v>No</v>
      </c>
      <c r="G224" s="9" t="str">
        <f aca="false">IF($C224="VEN","In-country record","Abroad")</f>
        <v>Abroad</v>
      </c>
      <c r="H224" s="24" t="n">
        <v>0</v>
      </c>
      <c r="I224" s="24" t="n">
        <v>0</v>
      </c>
      <c r="J224" s="24" t="n">
        <v>0</v>
      </c>
      <c r="K224" s="24" t="n">
        <v>0</v>
      </c>
      <c r="L224" s="24" t="n">
        <v>0</v>
      </c>
      <c r="M224" s="24" t="n">
        <v>9</v>
      </c>
      <c r="N224" s="24" t="n">
        <v>9</v>
      </c>
      <c r="O224" s="24" t="n">
        <v>0</v>
      </c>
      <c r="P224" s="24" t="n">
        <v>0</v>
      </c>
      <c r="Q224" s="24" t="n">
        <v>0</v>
      </c>
      <c r="R224" s="24" t="n">
        <v>0</v>
      </c>
      <c r="S224" s="24" t="n">
        <v>0</v>
      </c>
      <c r="T224" s="24" t="n">
        <v>7</v>
      </c>
      <c r="U224" s="24" t="n">
        <v>7</v>
      </c>
      <c r="V224" s="24" t="n">
        <v>38</v>
      </c>
      <c r="W224" s="24" t="n">
        <f aca="false">N224+U224</f>
        <v>16</v>
      </c>
      <c r="X224" s="32" t="n">
        <f aca="false">IF(V224&gt;0,W224/V224,0)</f>
        <v>0.421052631578947</v>
      </c>
      <c r="Y224" s="9"/>
    </row>
    <row r="225" customFormat="false" ht="15" hidden="false" customHeight="false" outlineLevel="0" collapsed="false">
      <c r="A225" s="25" t="n">
        <v>2023</v>
      </c>
      <c r="B225" s="9" t="s">
        <v>287</v>
      </c>
      <c r="C225" s="9" t="s">
        <v>163</v>
      </c>
      <c r="D225" s="9" t="str">
        <f aca="false">INDEX(Lookups!$C$5:$C$75,MATCH($C225,Lookups!$A$5:$A$75,0))</f>
        <v>Latin America &amp; Caribbean</v>
      </c>
      <c r="E225" s="9" t="str">
        <f aca="false">INDEX(Lookups!$D$5:$D$75,MATCH($C225,Lookups!$A$5:$A$75,0))</f>
        <v>Central America &amp; Mexico</v>
      </c>
      <c r="F225" s="9" t="str">
        <f aca="false">IF($D225="Latin America &amp; Caribbean","Yes","No")</f>
        <v>Yes</v>
      </c>
      <c r="G225" s="9" t="str">
        <f aca="false">IF($C225="VEN","In-country record","Abroad")</f>
        <v>Abroad</v>
      </c>
      <c r="H225" s="24" t="n">
        <v>228</v>
      </c>
      <c r="I225" s="24" t="n">
        <v>1557</v>
      </c>
      <c r="J225" s="24" t="n">
        <v>1180</v>
      </c>
      <c r="K225" s="24" t="n">
        <v>13588</v>
      </c>
      <c r="L225" s="24" t="n">
        <v>1233</v>
      </c>
      <c r="M225" s="24" t="n">
        <v>0</v>
      </c>
      <c r="N225" s="24" t="n">
        <v>17786</v>
      </c>
      <c r="O225" s="24" t="n">
        <v>251</v>
      </c>
      <c r="P225" s="24" t="n">
        <v>1606</v>
      </c>
      <c r="Q225" s="24" t="n">
        <v>1302</v>
      </c>
      <c r="R225" s="24" t="n">
        <v>17727</v>
      </c>
      <c r="S225" s="24" t="n">
        <v>683</v>
      </c>
      <c r="T225" s="24" t="n">
        <v>0</v>
      </c>
      <c r="U225" s="24" t="n">
        <v>21569</v>
      </c>
      <c r="V225" s="24" t="n">
        <v>127025</v>
      </c>
      <c r="W225" s="24" t="n">
        <f aca="false">N225+U225</f>
        <v>39355</v>
      </c>
      <c r="X225" s="32" t="n">
        <f aca="false">IF(V225&gt;0,W225/V225,0)</f>
        <v>0.309820901397363</v>
      </c>
      <c r="Y225" s="9"/>
    </row>
    <row r="226" customFormat="false" ht="15" hidden="false" customHeight="false" outlineLevel="0" collapsed="false">
      <c r="A226" s="25" t="n">
        <v>2023</v>
      </c>
      <c r="B226" s="9" t="s">
        <v>289</v>
      </c>
      <c r="C226" s="9" t="s">
        <v>182</v>
      </c>
      <c r="D226" s="9" t="str">
        <f aca="false">INDEX(Lookups!$C$5:$C$75,MATCH($C226,Lookups!$A$5:$A$75,0))</f>
        <v>Europe</v>
      </c>
      <c r="E226" s="9" t="str">
        <f aca="false">INDEX(Lookups!$D$5:$D$75,MATCH($C226,Lookups!$A$5:$A$75,0))</f>
        <v>Europe</v>
      </c>
      <c r="F226" s="9" t="str">
        <f aca="false">IF($D226="Latin America &amp; Caribbean","Yes","No")</f>
        <v>No</v>
      </c>
      <c r="G226" s="9" t="str">
        <f aca="false">IF($C226="VEN","In-country record","Abroad")</f>
        <v>Abroad</v>
      </c>
      <c r="H226" s="24" t="n">
        <v>7</v>
      </c>
      <c r="I226" s="24" t="n">
        <v>9</v>
      </c>
      <c r="J226" s="24" t="n">
        <v>5</v>
      </c>
      <c r="K226" s="24" t="n">
        <v>45</v>
      </c>
      <c r="L226" s="24" t="n">
        <v>0</v>
      </c>
      <c r="M226" s="24" t="n">
        <v>124</v>
      </c>
      <c r="N226" s="24" t="n">
        <v>190</v>
      </c>
      <c r="O226" s="24" t="n">
        <v>6</v>
      </c>
      <c r="P226" s="24" t="n">
        <v>11</v>
      </c>
      <c r="Q226" s="24" t="n">
        <v>11</v>
      </c>
      <c r="R226" s="24" t="n">
        <v>173</v>
      </c>
      <c r="S226" s="24" t="n">
        <v>0</v>
      </c>
      <c r="T226" s="24" t="n">
        <v>129</v>
      </c>
      <c r="U226" s="24" t="n">
        <v>330</v>
      </c>
      <c r="V226" s="24" t="n">
        <v>520</v>
      </c>
      <c r="W226" s="24" t="n">
        <f aca="false">N226+U226</f>
        <v>520</v>
      </c>
      <c r="X226" s="32" t="n">
        <f aca="false">IF(V226&gt;0,W226/V226,0)</f>
        <v>1</v>
      </c>
      <c r="Y226" s="9"/>
    </row>
    <row r="227" customFormat="false" ht="15" hidden="false" customHeight="false" outlineLevel="0" collapsed="false">
      <c r="A227" s="25" t="n">
        <v>2023</v>
      </c>
      <c r="B227" s="9" t="s">
        <v>316</v>
      </c>
      <c r="C227" s="9" t="s">
        <v>205</v>
      </c>
      <c r="D227" s="9" t="str">
        <f aca="false">INDEX(Lookups!$C$5:$C$75,MATCH($C227,Lookups!$A$5:$A$75,0))</f>
        <v>Other regions</v>
      </c>
      <c r="E227" s="9" t="str">
        <f aca="false">INDEX(Lookups!$D$5:$D$75,MATCH($C227,Lookups!$A$5:$A$75,0))</f>
        <v>Rest of world</v>
      </c>
      <c r="F227" s="9" t="str">
        <f aca="false">IF($D227="Latin America &amp; Caribbean","Yes","No")</f>
        <v>No</v>
      </c>
      <c r="G227" s="9" t="str">
        <f aca="false">IF($C227="VEN","In-country record","Abroad")</f>
        <v>Abroad</v>
      </c>
      <c r="H227" s="24" t="n">
        <v>0</v>
      </c>
      <c r="I227" s="24" t="n">
        <v>0</v>
      </c>
      <c r="J227" s="24" t="n">
        <v>0</v>
      </c>
      <c r="K227" s="24" t="n">
        <v>0</v>
      </c>
      <c r="L227" s="24" t="n">
        <v>0</v>
      </c>
      <c r="M227" s="24" t="n">
        <v>0</v>
      </c>
      <c r="N227" s="24" t="n">
        <v>0</v>
      </c>
      <c r="O227" s="24" t="n">
        <v>0</v>
      </c>
      <c r="P227" s="24" t="n">
        <v>0</v>
      </c>
      <c r="Q227" s="24" t="n">
        <v>0</v>
      </c>
      <c r="R227" s="24" t="n">
        <v>0</v>
      </c>
      <c r="S227" s="24" t="n">
        <v>0</v>
      </c>
      <c r="T227" s="24" t="n">
        <v>0</v>
      </c>
      <c r="U227" s="24" t="n">
        <v>0</v>
      </c>
      <c r="V227" s="24" t="n">
        <v>5</v>
      </c>
      <c r="W227" s="24" t="n">
        <f aca="false">N227+U227</f>
        <v>0</v>
      </c>
      <c r="X227" s="32" t="n">
        <f aca="false">IF(V227&gt;0,W227/V227,0)</f>
        <v>0</v>
      </c>
      <c r="Y227" s="9"/>
    </row>
    <row r="228" customFormat="false" ht="15" hidden="false" customHeight="false" outlineLevel="0" collapsed="false">
      <c r="A228" s="25" t="n">
        <v>2023</v>
      </c>
      <c r="B228" s="9" t="s">
        <v>290</v>
      </c>
      <c r="C228" s="9" t="s">
        <v>189</v>
      </c>
      <c r="D228" s="9" t="str">
        <f aca="false">INDEX(Lookups!$C$5:$C$75,MATCH($C228,Lookups!$A$5:$A$75,0))</f>
        <v>Europe</v>
      </c>
      <c r="E228" s="9" t="str">
        <f aca="false">INDEX(Lookups!$D$5:$D$75,MATCH($C228,Lookups!$A$5:$A$75,0))</f>
        <v>Europe</v>
      </c>
      <c r="F228" s="9" t="str">
        <f aca="false">IF($D228="Latin America &amp; Caribbean","Yes","No")</f>
        <v>No</v>
      </c>
      <c r="G228" s="9" t="str">
        <f aca="false">IF($C228="VEN","In-country record","Abroad")</f>
        <v>Abroad</v>
      </c>
      <c r="H228" s="24" t="n">
        <v>0</v>
      </c>
      <c r="I228" s="24" t="n">
        <v>5</v>
      </c>
      <c r="J228" s="24" t="n">
        <v>0</v>
      </c>
      <c r="K228" s="24" t="n">
        <v>10</v>
      </c>
      <c r="L228" s="24" t="n">
        <v>0</v>
      </c>
      <c r="M228" s="24" t="n">
        <v>84</v>
      </c>
      <c r="N228" s="24" t="n">
        <v>99</v>
      </c>
      <c r="O228" s="24" t="n">
        <v>0</v>
      </c>
      <c r="P228" s="24" t="n">
        <v>0</v>
      </c>
      <c r="Q228" s="24" t="n">
        <v>5</v>
      </c>
      <c r="R228" s="24" t="n">
        <v>38</v>
      </c>
      <c r="S228" s="24" t="n">
        <v>0</v>
      </c>
      <c r="T228" s="24" t="n">
        <v>82</v>
      </c>
      <c r="U228" s="24" t="n">
        <v>125</v>
      </c>
      <c r="V228" s="24" t="n">
        <v>224</v>
      </c>
      <c r="W228" s="24" t="n">
        <f aca="false">N228+U228</f>
        <v>224</v>
      </c>
      <c r="X228" s="32" t="n">
        <f aca="false">IF(V228&gt;0,W228/V228,0)</f>
        <v>1</v>
      </c>
      <c r="Y228" s="9"/>
    </row>
    <row r="229" customFormat="false" ht="15" hidden="false" customHeight="false" outlineLevel="0" collapsed="false">
      <c r="A229" s="25" t="n">
        <v>2023</v>
      </c>
      <c r="B229" s="9" t="s">
        <v>291</v>
      </c>
      <c r="C229" s="9" t="s">
        <v>165</v>
      </c>
      <c r="D229" s="9" t="str">
        <f aca="false">INDEX(Lookups!$C$5:$C$75,MATCH($C229,Lookups!$A$5:$A$75,0))</f>
        <v>Latin America &amp; Caribbean</v>
      </c>
      <c r="E229" s="9" t="str">
        <f aca="false">INDEX(Lookups!$D$5:$D$75,MATCH($C229,Lookups!$A$5:$A$75,0))</f>
        <v>Central America &amp; Mexico</v>
      </c>
      <c r="F229" s="9" t="str">
        <f aca="false">IF($D229="Latin America &amp; Caribbean","Yes","No")</f>
        <v>Yes</v>
      </c>
      <c r="G229" s="9" t="str">
        <f aca="false">IF($C229="VEN","In-country record","Abroad")</f>
        <v>Abroad</v>
      </c>
      <c r="H229" s="24" t="n">
        <v>109</v>
      </c>
      <c r="I229" s="24" t="n">
        <v>2059</v>
      </c>
      <c r="J229" s="24" t="n">
        <v>2187</v>
      </c>
      <c r="K229" s="24" t="n">
        <v>23392</v>
      </c>
      <c r="L229" s="24" t="n">
        <v>2716</v>
      </c>
      <c r="M229" s="24" t="n">
        <v>0</v>
      </c>
      <c r="N229" s="24" t="n">
        <v>30463</v>
      </c>
      <c r="O229" s="24" t="n">
        <v>137</v>
      </c>
      <c r="P229" s="24" t="n">
        <v>2126</v>
      </c>
      <c r="Q229" s="24" t="n">
        <v>2278</v>
      </c>
      <c r="R229" s="24" t="n">
        <v>20782</v>
      </c>
      <c r="S229" s="24" t="n">
        <v>1572</v>
      </c>
      <c r="T229" s="24" t="n">
        <v>0</v>
      </c>
      <c r="U229" s="24" t="n">
        <v>26895</v>
      </c>
      <c r="V229" s="24" t="n">
        <v>58243</v>
      </c>
      <c r="W229" s="24" t="n">
        <f aca="false">N229+U229</f>
        <v>57358</v>
      </c>
      <c r="X229" s="32" t="n">
        <f aca="false">IF(V229&gt;0,W229/V229,0)</f>
        <v>0.984805040949127</v>
      </c>
      <c r="Y229" s="9" t="s">
        <v>324</v>
      </c>
    </row>
    <row r="230" customFormat="false" ht="15" hidden="false" customHeight="false" outlineLevel="0" collapsed="false">
      <c r="A230" s="25" t="n">
        <v>2023</v>
      </c>
      <c r="B230" s="9" t="s">
        <v>292</v>
      </c>
      <c r="C230" s="9" t="s">
        <v>178</v>
      </c>
      <c r="D230" s="9" t="str">
        <f aca="false">INDEX(Lookups!$C$5:$C$75,MATCH($C230,Lookups!$A$5:$A$75,0))</f>
        <v>Latin America &amp; Caribbean</v>
      </c>
      <c r="E230" s="9" t="str">
        <f aca="false">INDEX(Lookups!$D$5:$D$75,MATCH($C230,Lookups!$A$5:$A$75,0))</f>
        <v>Southern Cone &amp; Brazil</v>
      </c>
      <c r="F230" s="9" t="str">
        <f aca="false">IF($D230="Latin America &amp; Caribbean","Yes","No")</f>
        <v>Yes</v>
      </c>
      <c r="G230" s="9" t="str">
        <f aca="false">IF($C230="VEN","In-country record","Abroad")</f>
        <v>Abroad</v>
      </c>
      <c r="H230" s="24" t="n">
        <v>61</v>
      </c>
      <c r="I230" s="24" t="n">
        <v>270</v>
      </c>
      <c r="J230" s="24" t="n">
        <v>196</v>
      </c>
      <c r="K230" s="24" t="n">
        <v>1697</v>
      </c>
      <c r="L230" s="24" t="n">
        <v>35</v>
      </c>
      <c r="M230" s="24" t="n">
        <v>5</v>
      </c>
      <c r="N230" s="24" t="n">
        <v>2264</v>
      </c>
      <c r="O230" s="24" t="n">
        <v>63</v>
      </c>
      <c r="P230" s="24" t="n">
        <v>274</v>
      </c>
      <c r="Q230" s="24" t="n">
        <v>224</v>
      </c>
      <c r="R230" s="24" t="n">
        <v>2239</v>
      </c>
      <c r="S230" s="24" t="n">
        <v>11</v>
      </c>
      <c r="T230" s="24" t="n">
        <v>0</v>
      </c>
      <c r="U230" s="24" t="n">
        <v>2811</v>
      </c>
      <c r="V230" s="24" t="n">
        <v>5394</v>
      </c>
      <c r="W230" s="24" t="n">
        <f aca="false">N230+U230</f>
        <v>5075</v>
      </c>
      <c r="X230" s="32" t="n">
        <f aca="false">IF(V230&gt;0,W230/V230,0)</f>
        <v>0.940860215053764</v>
      </c>
      <c r="Y230" s="9"/>
    </row>
    <row r="231" customFormat="false" ht="15" hidden="false" customHeight="false" outlineLevel="0" collapsed="false">
      <c r="A231" s="25" t="n">
        <v>2023</v>
      </c>
      <c r="B231" s="9" t="s">
        <v>293</v>
      </c>
      <c r="C231" s="9" t="s">
        <v>156</v>
      </c>
      <c r="D231" s="9" t="str">
        <f aca="false">INDEX(Lookups!$C$5:$C$75,MATCH($C231,Lookups!$A$5:$A$75,0))</f>
        <v>Latin America &amp; Caribbean</v>
      </c>
      <c r="E231" s="9" t="str">
        <f aca="false">INDEX(Lookups!$D$5:$D$75,MATCH($C231,Lookups!$A$5:$A$75,0))</f>
        <v>Andean region</v>
      </c>
      <c r="F231" s="9" t="str">
        <f aca="false">IF($D231="Latin America &amp; Caribbean","Yes","No")</f>
        <v>Yes</v>
      </c>
      <c r="G231" s="9" t="str">
        <f aca="false">IF($C231="VEN","In-country record","Abroad")</f>
        <v>Abroad</v>
      </c>
      <c r="H231" s="24" t="n">
        <v>56292</v>
      </c>
      <c r="I231" s="24" t="n">
        <v>64726</v>
      </c>
      <c r="J231" s="24" t="n">
        <v>39223</v>
      </c>
      <c r="K231" s="24" t="n">
        <v>349642</v>
      </c>
      <c r="L231" s="24" t="n">
        <v>17858</v>
      </c>
      <c r="M231" s="24" t="n">
        <v>0</v>
      </c>
      <c r="N231" s="24" t="n">
        <v>527741</v>
      </c>
      <c r="O231" s="24" t="n">
        <v>60677</v>
      </c>
      <c r="P231" s="24" t="n">
        <v>71725</v>
      </c>
      <c r="Q231" s="24" t="n">
        <v>40043</v>
      </c>
      <c r="R231" s="24" t="n">
        <v>334753</v>
      </c>
      <c r="S231" s="24" t="n">
        <v>8683</v>
      </c>
      <c r="T231" s="24" t="n">
        <v>0</v>
      </c>
      <c r="U231" s="24" t="n">
        <v>515881</v>
      </c>
      <c r="V231" s="24" t="n">
        <v>1542004</v>
      </c>
      <c r="W231" s="24" t="n">
        <f aca="false">N231+U231</f>
        <v>1043622</v>
      </c>
      <c r="X231" s="32" t="n">
        <f aca="false">IF(V231&gt;0,W231/V231,0)</f>
        <v>0.676795909738237</v>
      </c>
      <c r="Y231" s="9"/>
    </row>
    <row r="232" customFormat="false" ht="15" hidden="false" customHeight="false" outlineLevel="0" collapsed="false">
      <c r="A232" s="25" t="n">
        <v>2023</v>
      </c>
      <c r="B232" s="9" t="s">
        <v>294</v>
      </c>
      <c r="C232" s="9" t="s">
        <v>196</v>
      </c>
      <c r="D232" s="9" t="str">
        <f aca="false">INDEX(Lookups!$C$5:$C$75,MATCH($C232,Lookups!$A$5:$A$75,0))</f>
        <v>Europe</v>
      </c>
      <c r="E232" s="9" t="str">
        <f aca="false">INDEX(Lookups!$D$5:$D$75,MATCH($C232,Lookups!$A$5:$A$75,0))</f>
        <v>Europe</v>
      </c>
      <c r="F232" s="9" t="str">
        <f aca="false">IF($D232="Latin America &amp; Caribbean","Yes","No")</f>
        <v>No</v>
      </c>
      <c r="G232" s="9" t="str">
        <f aca="false">IF($C232="VEN","In-country record","Abroad")</f>
        <v>Abroad</v>
      </c>
      <c r="H232" s="24" t="n">
        <v>0</v>
      </c>
      <c r="I232" s="24" t="n">
        <v>0</v>
      </c>
      <c r="J232" s="24" t="n">
        <v>0</v>
      </c>
      <c r="K232" s="24" t="n">
        <v>0</v>
      </c>
      <c r="L232" s="24" t="n">
        <v>0</v>
      </c>
      <c r="M232" s="24" t="n">
        <v>0</v>
      </c>
      <c r="N232" s="24" t="n">
        <v>0</v>
      </c>
      <c r="O232" s="24" t="n">
        <v>0</v>
      </c>
      <c r="P232" s="24" t="n">
        <v>0</v>
      </c>
      <c r="Q232" s="24" t="n">
        <v>0</v>
      </c>
      <c r="R232" s="24" t="n">
        <v>0</v>
      </c>
      <c r="S232" s="24" t="n">
        <v>0</v>
      </c>
      <c r="T232" s="24" t="n">
        <v>0</v>
      </c>
      <c r="U232" s="24" t="n">
        <v>0</v>
      </c>
      <c r="V232" s="24" t="n">
        <v>28</v>
      </c>
      <c r="W232" s="24" t="n">
        <f aca="false">N232+U232</f>
        <v>0</v>
      </c>
      <c r="X232" s="32" t="n">
        <f aca="false">IF(V232&gt;0,W232/V232,0)</f>
        <v>0</v>
      </c>
      <c r="Y232" s="9"/>
    </row>
    <row r="233" customFormat="false" ht="15" hidden="false" customHeight="false" outlineLevel="0" collapsed="false">
      <c r="A233" s="25" t="n">
        <v>2023</v>
      </c>
      <c r="B233" s="9" t="s">
        <v>295</v>
      </c>
      <c r="C233" s="9" t="s">
        <v>185</v>
      </c>
      <c r="D233" s="9" t="str">
        <f aca="false">INDEX(Lookups!$C$5:$C$75,MATCH($C233,Lookups!$A$5:$A$75,0))</f>
        <v>Europe</v>
      </c>
      <c r="E233" s="9" t="str">
        <f aca="false">INDEX(Lookups!$D$5:$D$75,MATCH($C233,Lookups!$A$5:$A$75,0))</f>
        <v>Europe</v>
      </c>
      <c r="F233" s="9" t="str">
        <f aca="false">IF($D233="Latin America &amp; Caribbean","Yes","No")</f>
        <v>No</v>
      </c>
      <c r="G233" s="9" t="str">
        <f aca="false">IF($C233="VEN","In-country record","Abroad")</f>
        <v>Abroad</v>
      </c>
      <c r="H233" s="24" t="n">
        <v>0</v>
      </c>
      <c r="I233" s="24" t="n">
        <v>0</v>
      </c>
      <c r="J233" s="24" t="n">
        <v>0</v>
      </c>
      <c r="K233" s="24" t="n">
        <v>5</v>
      </c>
      <c r="L233" s="24" t="n">
        <v>0</v>
      </c>
      <c r="M233" s="24" t="n">
        <v>20</v>
      </c>
      <c r="N233" s="24" t="n">
        <v>25</v>
      </c>
      <c r="O233" s="24" t="n">
        <v>0</v>
      </c>
      <c r="P233" s="24" t="n">
        <v>0</v>
      </c>
      <c r="Q233" s="24" t="n">
        <v>0</v>
      </c>
      <c r="R233" s="24" t="n">
        <v>0</v>
      </c>
      <c r="S233" s="24" t="n">
        <v>0</v>
      </c>
      <c r="T233" s="24" t="n">
        <v>21</v>
      </c>
      <c r="U233" s="24" t="n">
        <v>21</v>
      </c>
      <c r="V233" s="24" t="n">
        <v>46</v>
      </c>
      <c r="W233" s="24" t="n">
        <f aca="false">N233+U233</f>
        <v>46</v>
      </c>
      <c r="X233" s="32" t="n">
        <f aca="false">IF(V233&gt;0,W233/V233,0)</f>
        <v>1</v>
      </c>
      <c r="Y233" s="9"/>
    </row>
    <row r="234" customFormat="false" ht="15" hidden="false" customHeight="false" outlineLevel="0" collapsed="false">
      <c r="A234" s="25" t="n">
        <v>2023</v>
      </c>
      <c r="B234" s="9" t="s">
        <v>298</v>
      </c>
      <c r="C234" s="9" t="s">
        <v>191</v>
      </c>
      <c r="D234" s="9" t="str">
        <f aca="false">INDEX(Lookups!$C$5:$C$75,MATCH($C234,Lookups!$A$5:$A$75,0))</f>
        <v>Latin America &amp; Caribbean</v>
      </c>
      <c r="E234" s="9" t="str">
        <f aca="false">INDEX(Lookups!$D$5:$D$75,MATCH($C234,Lookups!$A$5:$A$75,0))</f>
        <v>Caribbean &amp; Guianas</v>
      </c>
      <c r="F234" s="9" t="str">
        <f aca="false">IF($D234="Latin America &amp; Caribbean","Yes","No")</f>
        <v>Yes</v>
      </c>
      <c r="G234" s="9" t="str">
        <f aca="false">IF($C234="VEN","In-country record","Abroad")</f>
        <v>Abroad</v>
      </c>
      <c r="H234" s="24" t="n">
        <v>0</v>
      </c>
      <c r="I234" s="24" t="n">
        <v>8</v>
      </c>
      <c r="J234" s="24" t="n">
        <v>0</v>
      </c>
      <c r="K234" s="24" t="n">
        <v>35</v>
      </c>
      <c r="L234" s="24" t="n">
        <v>0</v>
      </c>
      <c r="M234" s="24" t="n">
        <v>0</v>
      </c>
      <c r="N234" s="24" t="n">
        <v>43</v>
      </c>
      <c r="O234" s="24" t="n">
        <v>0</v>
      </c>
      <c r="P234" s="24" t="n">
        <v>0</v>
      </c>
      <c r="Q234" s="24" t="n">
        <v>6</v>
      </c>
      <c r="R234" s="24" t="n">
        <v>71</v>
      </c>
      <c r="S234" s="24" t="n">
        <v>5</v>
      </c>
      <c r="T234" s="24" t="n">
        <v>0</v>
      </c>
      <c r="U234" s="24" t="n">
        <v>82</v>
      </c>
      <c r="V234" s="24" t="n">
        <v>125</v>
      </c>
      <c r="W234" s="24" t="n">
        <f aca="false">N234+U234</f>
        <v>125</v>
      </c>
      <c r="X234" s="32" t="n">
        <f aca="false">IF(V234&gt;0,W234/V234,0)</f>
        <v>1</v>
      </c>
      <c r="Y234" s="9"/>
    </row>
    <row r="235" customFormat="false" ht="15" hidden="false" customHeight="false" outlineLevel="0" collapsed="false">
      <c r="A235" s="25" t="n">
        <v>2023</v>
      </c>
      <c r="B235" s="9" t="s">
        <v>300</v>
      </c>
      <c r="C235" s="9" t="s">
        <v>161</v>
      </c>
      <c r="D235" s="9" t="str">
        <f aca="false">INDEX(Lookups!$C$5:$C$75,MATCH($C235,Lookups!$A$5:$A$75,0))</f>
        <v>Europe</v>
      </c>
      <c r="E235" s="9" t="str">
        <f aca="false">INDEX(Lookups!$D$5:$D$75,MATCH($C235,Lookups!$A$5:$A$75,0))</f>
        <v>Europe</v>
      </c>
      <c r="F235" s="9" t="str">
        <f aca="false">IF($D235="Latin America &amp; Caribbean","Yes","No")</f>
        <v>No</v>
      </c>
      <c r="G235" s="9" t="str">
        <f aca="false">IF($C235="VEN","In-country record","Abroad")</f>
        <v>Abroad</v>
      </c>
      <c r="H235" s="24" t="n">
        <v>0</v>
      </c>
      <c r="I235" s="24" t="n">
        <v>0</v>
      </c>
      <c r="J235" s="24" t="n">
        <v>0</v>
      </c>
      <c r="K235" s="24" t="n">
        <v>0</v>
      </c>
      <c r="L235" s="24" t="n">
        <v>0</v>
      </c>
      <c r="M235" s="24" t="n">
        <v>100050</v>
      </c>
      <c r="N235" s="24" t="n">
        <v>100050</v>
      </c>
      <c r="O235" s="24" t="n">
        <v>0</v>
      </c>
      <c r="P235" s="24" t="n">
        <v>0</v>
      </c>
      <c r="Q235" s="24" t="n">
        <v>0</v>
      </c>
      <c r="R235" s="24" t="n">
        <v>0</v>
      </c>
      <c r="S235" s="24" t="n">
        <v>0</v>
      </c>
      <c r="T235" s="24" t="n">
        <v>88159</v>
      </c>
      <c r="U235" s="24" t="n">
        <v>88159</v>
      </c>
      <c r="V235" s="24" t="n">
        <v>188209</v>
      </c>
      <c r="W235" s="24" t="n">
        <f aca="false">N235+U235</f>
        <v>188209</v>
      </c>
      <c r="X235" s="32" t="n">
        <f aca="false">IF(V235&gt;0,W235/V235,0)</f>
        <v>1</v>
      </c>
      <c r="Y235" s="9" t="s">
        <v>321</v>
      </c>
    </row>
    <row r="236" customFormat="false" ht="15" hidden="false" customHeight="false" outlineLevel="0" collapsed="false">
      <c r="A236" s="25" t="n">
        <v>2023</v>
      </c>
      <c r="B236" s="9" t="s">
        <v>302</v>
      </c>
      <c r="C236" s="9" t="s">
        <v>183</v>
      </c>
      <c r="D236" s="9" t="str">
        <f aca="false">INDEX(Lookups!$C$5:$C$75,MATCH($C236,Lookups!$A$5:$A$75,0))</f>
        <v>Latin America &amp; Caribbean</v>
      </c>
      <c r="E236" s="9" t="str">
        <f aca="false">INDEX(Lookups!$D$5:$D$75,MATCH($C236,Lookups!$A$5:$A$75,0))</f>
        <v>Caribbean &amp; Guianas</v>
      </c>
      <c r="F236" s="9" t="str">
        <f aca="false">IF($D236="Latin America &amp; Caribbean","Yes","No")</f>
        <v>Yes</v>
      </c>
      <c r="G236" s="9" t="str">
        <f aca="false">IF($C236="VEN","In-country record","Abroad")</f>
        <v>Abroad</v>
      </c>
      <c r="H236" s="24" t="n">
        <v>0</v>
      </c>
      <c r="I236" s="24" t="n">
        <v>0</v>
      </c>
      <c r="J236" s="24" t="n">
        <v>0</v>
      </c>
      <c r="K236" s="24" t="n">
        <v>0</v>
      </c>
      <c r="L236" s="24" t="n">
        <v>0</v>
      </c>
      <c r="M236" s="24" t="n">
        <v>0</v>
      </c>
      <c r="N236" s="24" t="n">
        <v>0</v>
      </c>
      <c r="O236" s="24" t="n">
        <v>0</v>
      </c>
      <c r="P236" s="24" t="n">
        <v>0</v>
      </c>
      <c r="Q236" s="24" t="n">
        <v>0</v>
      </c>
      <c r="R236" s="24" t="n">
        <v>0</v>
      </c>
      <c r="S236" s="24" t="n">
        <v>0</v>
      </c>
      <c r="T236" s="24" t="n">
        <v>0</v>
      </c>
      <c r="U236" s="24" t="n">
        <v>0</v>
      </c>
      <c r="V236" s="24" t="n">
        <v>453</v>
      </c>
      <c r="W236" s="24" t="n">
        <f aca="false">N236+U236</f>
        <v>0</v>
      </c>
      <c r="X236" s="32" t="n">
        <f aca="false">IF(V236&gt;0,W236/V236,0)</f>
        <v>0</v>
      </c>
      <c r="Y236" s="9"/>
    </row>
    <row r="237" customFormat="false" ht="15" hidden="false" customHeight="false" outlineLevel="0" collapsed="false">
      <c r="A237" s="25" t="n">
        <v>2023</v>
      </c>
      <c r="B237" s="9" t="s">
        <v>303</v>
      </c>
      <c r="C237" s="9" t="s">
        <v>193</v>
      </c>
      <c r="D237" s="9" t="str">
        <f aca="false">INDEX(Lookups!$C$5:$C$75,MATCH($C237,Lookups!$A$5:$A$75,0))</f>
        <v>Europe</v>
      </c>
      <c r="E237" s="9" t="str">
        <f aca="false">INDEX(Lookups!$D$5:$D$75,MATCH($C237,Lookups!$A$5:$A$75,0))</f>
        <v>Europe</v>
      </c>
      <c r="F237" s="9" t="str">
        <f aca="false">IF($D237="Latin America &amp; Caribbean","Yes","No")</f>
        <v>No</v>
      </c>
      <c r="G237" s="9" t="str">
        <f aca="false">IF($C237="VEN","In-country record","Abroad")</f>
        <v>Abroad</v>
      </c>
      <c r="H237" s="24" t="n">
        <v>0</v>
      </c>
      <c r="I237" s="24" t="n">
        <v>0</v>
      </c>
      <c r="J237" s="24" t="n">
        <v>7</v>
      </c>
      <c r="K237" s="24" t="n">
        <v>17</v>
      </c>
      <c r="L237" s="24" t="n">
        <v>0</v>
      </c>
      <c r="M237" s="24" t="n">
        <v>20</v>
      </c>
      <c r="N237" s="24" t="n">
        <v>44</v>
      </c>
      <c r="O237" s="24" t="n">
        <v>0</v>
      </c>
      <c r="P237" s="24" t="n">
        <v>0</v>
      </c>
      <c r="Q237" s="24" t="n">
        <v>7</v>
      </c>
      <c r="R237" s="24" t="n">
        <v>22</v>
      </c>
      <c r="S237" s="24" t="n">
        <v>0</v>
      </c>
      <c r="T237" s="24" t="n">
        <v>36</v>
      </c>
      <c r="U237" s="24" t="n">
        <v>65</v>
      </c>
      <c r="V237" s="24" t="n">
        <v>109</v>
      </c>
      <c r="W237" s="24" t="n">
        <f aca="false">N237+U237</f>
        <v>109</v>
      </c>
      <c r="X237" s="32" t="n">
        <f aca="false">IF(V237&gt;0,W237/V237,0)</f>
        <v>1</v>
      </c>
      <c r="Y237" s="9"/>
    </row>
    <row r="238" customFormat="false" ht="15" hidden="false" customHeight="false" outlineLevel="0" collapsed="false">
      <c r="A238" s="25" t="n">
        <v>2023</v>
      </c>
      <c r="B238" s="9" t="s">
        <v>304</v>
      </c>
      <c r="C238" s="9" t="s">
        <v>188</v>
      </c>
      <c r="D238" s="9" t="str">
        <f aca="false">INDEX(Lookups!$C$5:$C$75,MATCH($C238,Lookups!$A$5:$A$75,0))</f>
        <v>Europe</v>
      </c>
      <c r="E238" s="9" t="str">
        <f aca="false">INDEX(Lookups!$D$5:$D$75,MATCH($C238,Lookups!$A$5:$A$75,0))</f>
        <v>Europe</v>
      </c>
      <c r="F238" s="9" t="str">
        <f aca="false">IF($D238="Latin America &amp; Caribbean","Yes","No")</f>
        <v>No</v>
      </c>
      <c r="G238" s="9" t="str">
        <f aca="false">IF($C238="VEN","In-country record","Abroad")</f>
        <v>Abroad</v>
      </c>
      <c r="H238" s="24" t="n">
        <v>0</v>
      </c>
      <c r="I238" s="24" t="n">
        <v>14</v>
      </c>
      <c r="J238" s="24" t="n">
        <v>0</v>
      </c>
      <c r="K238" s="24" t="n">
        <v>43</v>
      </c>
      <c r="L238" s="24" t="n">
        <v>5</v>
      </c>
      <c r="M238" s="24" t="n">
        <v>18</v>
      </c>
      <c r="N238" s="24" t="n">
        <v>80</v>
      </c>
      <c r="O238" s="24" t="n">
        <v>0</v>
      </c>
      <c r="P238" s="24" t="n">
        <v>10</v>
      </c>
      <c r="Q238" s="24" t="n">
        <v>0</v>
      </c>
      <c r="R238" s="24" t="n">
        <v>62</v>
      </c>
      <c r="S238" s="24" t="n">
        <v>5</v>
      </c>
      <c r="T238" s="24" t="n">
        <v>21</v>
      </c>
      <c r="U238" s="24" t="n">
        <v>98</v>
      </c>
      <c r="V238" s="24" t="n">
        <v>178</v>
      </c>
      <c r="W238" s="24" t="n">
        <f aca="false">N238+U238</f>
        <v>178</v>
      </c>
      <c r="X238" s="32" t="n">
        <f aca="false">IF(V238&gt;0,W238/V238,0)</f>
        <v>1</v>
      </c>
      <c r="Y238" s="9"/>
    </row>
    <row r="239" customFormat="false" ht="15" hidden="false" customHeight="false" outlineLevel="0" collapsed="false">
      <c r="A239" s="25" t="n">
        <v>2023</v>
      </c>
      <c r="B239" s="9" t="s">
        <v>305</v>
      </c>
      <c r="C239" s="9" t="s">
        <v>167</v>
      </c>
      <c r="D239" s="9" t="str">
        <f aca="false">INDEX(Lookups!$C$5:$C$75,MATCH($C239,Lookups!$A$5:$A$75,0))</f>
        <v>Latin America &amp; Caribbean</v>
      </c>
      <c r="E239" s="9" t="str">
        <f aca="false">INDEX(Lookups!$D$5:$D$75,MATCH($C239,Lookups!$A$5:$A$75,0))</f>
        <v>Caribbean &amp; Guianas</v>
      </c>
      <c r="F239" s="9" t="str">
        <f aca="false">IF($D239="Latin America &amp; Caribbean","Yes","No")</f>
        <v>Yes</v>
      </c>
      <c r="G239" s="9" t="str">
        <f aca="false">IF($C239="VEN","In-country record","Abroad")</f>
        <v>Abroad</v>
      </c>
      <c r="H239" s="24" t="n">
        <v>328</v>
      </c>
      <c r="I239" s="24" t="n">
        <v>1675</v>
      </c>
      <c r="J239" s="24" t="n">
        <v>1090</v>
      </c>
      <c r="K239" s="24" t="n">
        <v>10814</v>
      </c>
      <c r="L239" s="24" t="n">
        <v>212</v>
      </c>
      <c r="M239" s="24" t="n">
        <v>0</v>
      </c>
      <c r="N239" s="24" t="n">
        <v>14119</v>
      </c>
      <c r="O239" s="24" t="n">
        <v>288</v>
      </c>
      <c r="P239" s="24" t="n">
        <v>1723</v>
      </c>
      <c r="Q239" s="24" t="n">
        <v>1086</v>
      </c>
      <c r="R239" s="24" t="n">
        <v>10066</v>
      </c>
      <c r="S239" s="24" t="n">
        <v>258</v>
      </c>
      <c r="T239" s="24" t="n">
        <v>761</v>
      </c>
      <c r="U239" s="24" t="n">
        <v>14182</v>
      </c>
      <c r="V239" s="24" t="n">
        <v>36218</v>
      </c>
      <c r="W239" s="24" t="n">
        <f aca="false">N239+U239</f>
        <v>28301</v>
      </c>
      <c r="X239" s="32" t="n">
        <f aca="false">IF(V239&gt;0,W239/V239,0)</f>
        <v>0.781407035175879</v>
      </c>
      <c r="Y239" s="9"/>
    </row>
    <row r="240" customFormat="false" ht="15" hidden="false" customHeight="false" outlineLevel="0" collapsed="false">
      <c r="A240" s="25" t="n">
        <v>2023</v>
      </c>
      <c r="B240" s="9" t="s">
        <v>306</v>
      </c>
      <c r="C240" s="9" t="s">
        <v>192</v>
      </c>
      <c r="D240" s="9" t="str">
        <f aca="false">INDEX(Lookups!$C$5:$C$75,MATCH($C240,Lookups!$A$5:$A$75,0))</f>
        <v>Europe</v>
      </c>
      <c r="E240" s="9" t="str">
        <f aca="false">INDEX(Lookups!$D$5:$D$75,MATCH($C240,Lookups!$A$5:$A$75,0))</f>
        <v>Europe</v>
      </c>
      <c r="F240" s="9" t="str">
        <f aca="false">IF($D240="Latin America &amp; Caribbean","Yes","No")</f>
        <v>No</v>
      </c>
      <c r="G240" s="9" t="str">
        <f aca="false">IF($C240="VEN","In-country record","Abroad")</f>
        <v>Abroad</v>
      </c>
      <c r="H240" s="24" t="n">
        <v>0</v>
      </c>
      <c r="I240" s="24" t="n">
        <v>5</v>
      </c>
      <c r="J240" s="24" t="n">
        <v>8</v>
      </c>
      <c r="K240" s="24" t="n">
        <v>22</v>
      </c>
      <c r="L240" s="24" t="n">
        <v>7</v>
      </c>
      <c r="M240" s="24" t="n">
        <v>0</v>
      </c>
      <c r="N240" s="24" t="n">
        <v>42</v>
      </c>
      <c r="O240" s="24" t="n">
        <v>0</v>
      </c>
      <c r="P240" s="24" t="n">
        <v>5</v>
      </c>
      <c r="Q240" s="24" t="n">
        <v>8</v>
      </c>
      <c r="R240" s="24" t="n">
        <v>32</v>
      </c>
      <c r="S240" s="24" t="n">
        <v>7</v>
      </c>
      <c r="T240" s="24" t="n">
        <v>0</v>
      </c>
      <c r="U240" s="24" t="n">
        <v>52</v>
      </c>
      <c r="V240" s="24" t="n">
        <v>115</v>
      </c>
      <c r="W240" s="24" t="n">
        <f aca="false">N240+U240</f>
        <v>94</v>
      </c>
      <c r="X240" s="32" t="n">
        <f aca="false">IF(V240&gt;0,W240/V240,0)</f>
        <v>0.817391304347826</v>
      </c>
      <c r="Y240" s="9"/>
    </row>
    <row r="241" customFormat="false" ht="15" hidden="false" customHeight="false" outlineLevel="0" collapsed="false">
      <c r="A241" s="25" t="n">
        <v>2023</v>
      </c>
      <c r="B241" s="9" t="s">
        <v>307</v>
      </c>
      <c r="C241" s="9" t="s">
        <v>160</v>
      </c>
      <c r="D241" s="9" t="str">
        <f aca="false">INDEX(Lookups!$C$5:$C$75,MATCH($C241,Lookups!$A$5:$A$75,0))</f>
        <v>North America</v>
      </c>
      <c r="E241" s="9" t="str">
        <f aca="false">INDEX(Lookups!$D$5:$D$75,MATCH($C241,Lookups!$A$5:$A$75,0))</f>
        <v>North America</v>
      </c>
      <c r="F241" s="9" t="str">
        <f aca="false">IF($D241="Latin America &amp; Caribbean","Yes","No")</f>
        <v>No</v>
      </c>
      <c r="G241" s="9" t="str">
        <f aca="false">IF($C241="VEN","In-country record","Abroad")</f>
        <v>Abroad</v>
      </c>
      <c r="H241" s="24" t="n">
        <v>0</v>
      </c>
      <c r="I241" s="24" t="n">
        <v>0</v>
      </c>
      <c r="J241" s="24" t="n">
        <v>0</v>
      </c>
      <c r="K241" s="24" t="n">
        <v>0</v>
      </c>
      <c r="L241" s="24" t="n">
        <v>0</v>
      </c>
      <c r="M241" s="24" t="n">
        <v>0</v>
      </c>
      <c r="N241" s="24" t="n">
        <v>0</v>
      </c>
      <c r="O241" s="24" t="n">
        <v>0</v>
      </c>
      <c r="P241" s="24" t="n">
        <v>0</v>
      </c>
      <c r="Q241" s="24" t="n">
        <v>0</v>
      </c>
      <c r="R241" s="24" t="n">
        <v>0</v>
      </c>
      <c r="S241" s="24" t="n">
        <v>0</v>
      </c>
      <c r="T241" s="24" t="n">
        <v>0</v>
      </c>
      <c r="U241" s="24" t="n">
        <v>0</v>
      </c>
      <c r="V241" s="24" t="n">
        <v>550169</v>
      </c>
      <c r="W241" s="24" t="n">
        <f aca="false">N241+U241</f>
        <v>0</v>
      </c>
      <c r="X241" s="32" t="n">
        <f aca="false">IF(V241&gt;0,W241/V241,0)</f>
        <v>0</v>
      </c>
      <c r="Y241" s="9" t="s">
        <v>325</v>
      </c>
    </row>
    <row r="242" customFormat="false" ht="15" hidden="false" customHeight="false" outlineLevel="0" collapsed="false">
      <c r="A242" s="25" t="n">
        <v>2023</v>
      </c>
      <c r="B242" s="9" t="s">
        <v>308</v>
      </c>
      <c r="C242" s="9" t="s">
        <v>168</v>
      </c>
      <c r="D242" s="9" t="str">
        <f aca="false">INDEX(Lookups!$C$5:$C$75,MATCH($C242,Lookups!$A$5:$A$75,0))</f>
        <v>Latin America &amp; Caribbean</v>
      </c>
      <c r="E242" s="9" t="str">
        <f aca="false">INDEX(Lookups!$D$5:$D$75,MATCH($C242,Lookups!$A$5:$A$75,0))</f>
        <v>Southern Cone &amp; Brazil</v>
      </c>
      <c r="F242" s="9" t="str">
        <f aca="false">IF($D242="Latin America &amp; Caribbean","Yes","No")</f>
        <v>Yes</v>
      </c>
      <c r="G242" s="9" t="str">
        <f aca="false">IF($C242="VEN","In-country record","Abroad")</f>
        <v>Abroad</v>
      </c>
      <c r="H242" s="24" t="n">
        <v>52</v>
      </c>
      <c r="I242" s="24" t="n">
        <v>308</v>
      </c>
      <c r="J242" s="24" t="n">
        <v>188</v>
      </c>
      <c r="K242" s="24" t="n">
        <v>1359</v>
      </c>
      <c r="L242" s="24" t="n">
        <v>101</v>
      </c>
      <c r="M242" s="24" t="n">
        <v>14622</v>
      </c>
      <c r="N242" s="24" t="n">
        <v>16630</v>
      </c>
      <c r="O242" s="24" t="n">
        <v>47</v>
      </c>
      <c r="P242" s="24" t="n">
        <v>302</v>
      </c>
      <c r="Q242" s="24" t="n">
        <v>185</v>
      </c>
      <c r="R242" s="24" t="n">
        <v>1709</v>
      </c>
      <c r="S242" s="24" t="n">
        <v>60</v>
      </c>
      <c r="T242" s="24" t="n">
        <v>14006</v>
      </c>
      <c r="U242" s="24" t="n">
        <v>16309</v>
      </c>
      <c r="V242" s="24" t="n">
        <v>32939</v>
      </c>
      <c r="W242" s="24" t="n">
        <f aca="false">N242+U242</f>
        <v>32939</v>
      </c>
      <c r="X242" s="32" t="n">
        <f aca="false">IF(V242&gt;0,W242/V242,0)</f>
        <v>1</v>
      </c>
      <c r="Y242" s="9"/>
    </row>
    <row r="243" customFormat="false" ht="15" hidden="false" customHeight="false" outlineLevel="0" collapsed="false">
      <c r="A243" s="25" t="n">
        <v>2023</v>
      </c>
      <c r="B243" s="9" t="s">
        <v>309</v>
      </c>
      <c r="C243" s="9" t="s">
        <v>310</v>
      </c>
      <c r="D243" s="9" t="str">
        <f aca="false">INDEX(Lookups!$C$5:$C$75,MATCH($C243,Lookups!$A$5:$A$75,0))</f>
        <v>Venezuela (in-country record)</v>
      </c>
      <c r="E243" s="9" t="str">
        <f aca="false">INDEX(Lookups!$D$5:$D$75,MATCH($C243,Lookups!$A$5:$A$75,0))</f>
        <v>Venezuela (in-country record)</v>
      </c>
      <c r="F243" s="9" t="str">
        <f aca="false">IF($D243="Latin America &amp; Caribbean","Yes","No")</f>
        <v>No</v>
      </c>
      <c r="G243" s="9" t="str">
        <f aca="false">IF($C243="VEN","In-country record","Abroad")</f>
        <v>In-country record</v>
      </c>
      <c r="H243" s="24" t="n">
        <v>89228</v>
      </c>
      <c r="I243" s="24" t="n">
        <v>134666</v>
      </c>
      <c r="J243" s="24" t="n">
        <v>245676</v>
      </c>
      <c r="K243" s="24" t="n">
        <v>1168471</v>
      </c>
      <c r="L243" s="24" t="n">
        <v>0</v>
      </c>
      <c r="M243" s="24" t="n">
        <v>110115</v>
      </c>
      <c r="N243" s="24" t="n">
        <v>1748156</v>
      </c>
      <c r="O243" s="24" t="n">
        <v>86900</v>
      </c>
      <c r="P243" s="24" t="n">
        <v>128503</v>
      </c>
      <c r="Q243" s="24" t="n">
        <v>211713</v>
      </c>
      <c r="R243" s="24" t="n">
        <v>930273</v>
      </c>
      <c r="S243" s="24" t="n">
        <v>0</v>
      </c>
      <c r="T243" s="24" t="n">
        <v>101032</v>
      </c>
      <c r="U243" s="24" t="n">
        <v>1458421</v>
      </c>
      <c r="V243" s="24" t="n">
        <v>3206577</v>
      </c>
      <c r="W243" s="24" t="n">
        <f aca="false">N243+U243</f>
        <v>3206577</v>
      </c>
      <c r="X243" s="32" t="n">
        <f aca="false">IF(V243&gt;0,W243/V243,0)</f>
        <v>1</v>
      </c>
      <c r="Y243" s="9" t="s">
        <v>326</v>
      </c>
    </row>
    <row r="244" customFormat="false" ht="15" hidden="false" customHeight="false" outlineLevel="0" collapsed="false">
      <c r="A244" s="25" t="n">
        <v>2024</v>
      </c>
      <c r="B244" s="9" t="s">
        <v>245</v>
      </c>
      <c r="C244" s="9" t="s">
        <v>204</v>
      </c>
      <c r="D244" s="9" t="str">
        <f aca="false">INDEX(Lookups!$C$5:$C$75,MATCH($C244,Lookups!$A$5:$A$75,0))</f>
        <v>Europe</v>
      </c>
      <c r="E244" s="9" t="str">
        <f aca="false">INDEX(Lookups!$D$5:$D$75,MATCH($C244,Lookups!$A$5:$A$75,0))</f>
        <v>Europe</v>
      </c>
      <c r="F244" s="9" t="str">
        <f aca="false">IF($D244="Latin America &amp; Caribbean","Yes","No")</f>
        <v>No</v>
      </c>
      <c r="G244" s="9" t="str">
        <f aca="false">IF($C244="VEN","In-country record","Abroad")</f>
        <v>Abroad</v>
      </c>
      <c r="H244" s="24" t="n">
        <v>0</v>
      </c>
      <c r="I244" s="24" t="n">
        <v>0</v>
      </c>
      <c r="J244" s="24" t="n">
        <v>0</v>
      </c>
      <c r="K244" s="24" t="n">
        <v>0</v>
      </c>
      <c r="L244" s="24" t="n">
        <v>0</v>
      </c>
      <c r="M244" s="24" t="n">
        <v>0</v>
      </c>
      <c r="N244" s="24" t="n">
        <v>0</v>
      </c>
      <c r="O244" s="24" t="n">
        <v>0</v>
      </c>
      <c r="P244" s="24" t="n">
        <v>0</v>
      </c>
      <c r="Q244" s="24" t="n">
        <v>0</v>
      </c>
      <c r="R244" s="24" t="n">
        <v>0</v>
      </c>
      <c r="S244" s="24" t="n">
        <v>0</v>
      </c>
      <c r="T244" s="24" t="n">
        <v>0</v>
      </c>
      <c r="U244" s="24" t="n">
        <v>0</v>
      </c>
      <c r="V244" s="24" t="n">
        <v>5</v>
      </c>
      <c r="W244" s="24" t="n">
        <f aca="false">N244+U244</f>
        <v>0</v>
      </c>
      <c r="X244" s="32" t="n">
        <f aca="false">IF(V244&gt;0,W244/V244,0)</f>
        <v>0</v>
      </c>
      <c r="Y244" s="9"/>
    </row>
    <row r="245" customFormat="false" ht="15" hidden="false" customHeight="false" outlineLevel="0" collapsed="false">
      <c r="A245" s="25" t="n">
        <v>2024</v>
      </c>
      <c r="B245" s="9" t="s">
        <v>247</v>
      </c>
      <c r="C245" s="9" t="s">
        <v>162</v>
      </c>
      <c r="D245" s="9" t="str">
        <f aca="false">INDEX(Lookups!$C$5:$C$75,MATCH($C245,Lookups!$A$5:$A$75,0))</f>
        <v>Latin America &amp; Caribbean</v>
      </c>
      <c r="E245" s="9" t="str">
        <f aca="false">INDEX(Lookups!$D$5:$D$75,MATCH($C245,Lookups!$A$5:$A$75,0))</f>
        <v>Southern Cone &amp; Brazil</v>
      </c>
      <c r="F245" s="9" t="str">
        <f aca="false">IF($D245="Latin America &amp; Caribbean","Yes","No")</f>
        <v>Yes</v>
      </c>
      <c r="G245" s="9" t="str">
        <f aca="false">IF($C245="VEN","In-country record","Abroad")</f>
        <v>Abroad</v>
      </c>
      <c r="H245" s="24" t="n">
        <v>986</v>
      </c>
      <c r="I245" s="24" t="n">
        <v>7087</v>
      </c>
      <c r="J245" s="24" t="n">
        <v>4769</v>
      </c>
      <c r="K245" s="24" t="n">
        <v>66872</v>
      </c>
      <c r="L245" s="24" t="n">
        <v>7530</v>
      </c>
      <c r="M245" s="24" t="n">
        <v>0</v>
      </c>
      <c r="N245" s="24" t="n">
        <v>87244</v>
      </c>
      <c r="O245" s="24" t="n">
        <v>1034</v>
      </c>
      <c r="P245" s="24" t="n">
        <v>7250</v>
      </c>
      <c r="Q245" s="24" t="n">
        <v>4834</v>
      </c>
      <c r="R245" s="24" t="n">
        <v>61769</v>
      </c>
      <c r="S245" s="24" t="n">
        <v>3485</v>
      </c>
      <c r="T245" s="24" t="n">
        <v>0</v>
      </c>
      <c r="U245" s="24" t="n">
        <v>78372</v>
      </c>
      <c r="V245" s="24" t="n">
        <v>165616</v>
      </c>
      <c r="W245" s="24" t="n">
        <f aca="false">N245+U245</f>
        <v>165616</v>
      </c>
      <c r="X245" s="32" t="n">
        <f aca="false">IF(V245&gt;0,W245/V245,0)</f>
        <v>1</v>
      </c>
      <c r="Y245" s="9"/>
    </row>
    <row r="246" customFormat="false" ht="15" hidden="false" customHeight="false" outlineLevel="0" collapsed="false">
      <c r="A246" s="25" t="n">
        <v>2024</v>
      </c>
      <c r="B246" s="9" t="s">
        <v>249</v>
      </c>
      <c r="C246" s="9" t="s">
        <v>173</v>
      </c>
      <c r="D246" s="9" t="str">
        <f aca="false">INDEX(Lookups!$C$5:$C$75,MATCH($C246,Lookups!$A$5:$A$75,0))</f>
        <v>Latin America &amp; Caribbean</v>
      </c>
      <c r="E246" s="9" t="str">
        <f aca="false">INDEX(Lookups!$D$5:$D$75,MATCH($C246,Lookups!$A$5:$A$75,0))</f>
        <v>Caribbean &amp; Guianas</v>
      </c>
      <c r="F246" s="9" t="str">
        <f aca="false">IF($D246="Latin America &amp; Caribbean","Yes","No")</f>
        <v>Yes</v>
      </c>
      <c r="G246" s="9" t="str">
        <f aca="false">IF($C246="VEN","In-country record","Abroad")</f>
        <v>Abroad</v>
      </c>
      <c r="H246" s="24" t="n">
        <v>0</v>
      </c>
      <c r="I246" s="24" t="n">
        <v>0</v>
      </c>
      <c r="J246" s="24" t="n">
        <v>0</v>
      </c>
      <c r="K246" s="24" t="n">
        <v>0</v>
      </c>
      <c r="L246" s="24" t="n">
        <v>0</v>
      </c>
      <c r="M246" s="24" t="n">
        <v>0</v>
      </c>
      <c r="N246" s="24" t="n">
        <v>0</v>
      </c>
      <c r="O246" s="24" t="n">
        <v>0</v>
      </c>
      <c r="P246" s="24" t="n">
        <v>0</v>
      </c>
      <c r="Q246" s="24" t="n">
        <v>0</v>
      </c>
      <c r="R246" s="24" t="n">
        <v>0</v>
      </c>
      <c r="S246" s="24" t="n">
        <v>0</v>
      </c>
      <c r="T246" s="24" t="n">
        <v>0</v>
      </c>
      <c r="U246" s="24" t="n">
        <v>0</v>
      </c>
      <c r="V246" s="24" t="n">
        <v>11470</v>
      </c>
      <c r="W246" s="24" t="n">
        <f aca="false">N246+U246</f>
        <v>0</v>
      </c>
      <c r="X246" s="32" t="n">
        <f aca="false">IF(V246&gt;0,W246/V246,0)</f>
        <v>0</v>
      </c>
      <c r="Y246" s="9" t="s">
        <v>250</v>
      </c>
    </row>
    <row r="247" customFormat="false" ht="15" hidden="false" customHeight="false" outlineLevel="0" collapsed="false">
      <c r="A247" s="25" t="n">
        <v>2024</v>
      </c>
      <c r="B247" s="9" t="s">
        <v>251</v>
      </c>
      <c r="C247" s="9" t="s">
        <v>184</v>
      </c>
      <c r="D247" s="9" t="str">
        <f aca="false">INDEX(Lookups!$C$5:$C$75,MATCH($C247,Lookups!$A$5:$A$75,0))</f>
        <v>Other regions</v>
      </c>
      <c r="E247" s="9" t="str">
        <f aca="false">INDEX(Lookups!$D$5:$D$75,MATCH($C247,Lookups!$A$5:$A$75,0))</f>
        <v>Rest of world</v>
      </c>
      <c r="F247" s="9" t="str">
        <f aca="false">IF($D247="Latin America &amp; Caribbean","Yes","No")</f>
        <v>No</v>
      </c>
      <c r="G247" s="9" t="str">
        <f aca="false">IF($C247="VEN","In-country record","Abroad")</f>
        <v>Abroad</v>
      </c>
      <c r="H247" s="24" t="n">
        <v>0</v>
      </c>
      <c r="I247" s="24" t="n">
        <v>0</v>
      </c>
      <c r="J247" s="24" t="n">
        <v>0</v>
      </c>
      <c r="K247" s="24" t="n">
        <v>0</v>
      </c>
      <c r="L247" s="24" t="n">
        <v>0</v>
      </c>
      <c r="M247" s="24" t="n">
        <v>0</v>
      </c>
      <c r="N247" s="24" t="n">
        <v>0</v>
      </c>
      <c r="O247" s="24" t="n">
        <v>0</v>
      </c>
      <c r="P247" s="24" t="n">
        <v>0</v>
      </c>
      <c r="Q247" s="24" t="n">
        <v>0</v>
      </c>
      <c r="R247" s="24" t="n">
        <v>0</v>
      </c>
      <c r="S247" s="24" t="n">
        <v>0</v>
      </c>
      <c r="T247" s="24" t="n">
        <v>0</v>
      </c>
      <c r="U247" s="24" t="n">
        <v>0</v>
      </c>
      <c r="V247" s="24" t="n">
        <v>361</v>
      </c>
      <c r="W247" s="24" t="n">
        <f aca="false">N247+U247</f>
        <v>0</v>
      </c>
      <c r="X247" s="32" t="n">
        <f aca="false">IF(V247&gt;0,W247/V247,0)</f>
        <v>0</v>
      </c>
      <c r="Y247" s="9"/>
    </row>
    <row r="248" customFormat="false" ht="15" hidden="false" customHeight="false" outlineLevel="0" collapsed="false">
      <c r="A248" s="25" t="n">
        <v>2024</v>
      </c>
      <c r="B248" s="9" t="s">
        <v>252</v>
      </c>
      <c r="C248" s="9" t="s">
        <v>187</v>
      </c>
      <c r="D248" s="9" t="str">
        <f aca="false">INDEX(Lookups!$C$5:$C$75,MATCH($C248,Lookups!$A$5:$A$75,0))</f>
        <v>Europe</v>
      </c>
      <c r="E248" s="9" t="str">
        <f aca="false">INDEX(Lookups!$D$5:$D$75,MATCH($C248,Lookups!$A$5:$A$75,0))</f>
        <v>Europe</v>
      </c>
      <c r="F248" s="9" t="str">
        <f aca="false">IF($D248="Latin America &amp; Caribbean","Yes","No")</f>
        <v>No</v>
      </c>
      <c r="G248" s="9" t="str">
        <f aca="false">IF($C248="VEN","In-country record","Abroad")</f>
        <v>Abroad</v>
      </c>
      <c r="H248" s="24" t="n">
        <v>40</v>
      </c>
      <c r="I248" s="24" t="n">
        <v>21</v>
      </c>
      <c r="J248" s="24" t="n">
        <v>7</v>
      </c>
      <c r="K248" s="24" t="n">
        <v>81</v>
      </c>
      <c r="L248" s="24" t="n">
        <v>0</v>
      </c>
      <c r="M248" s="24" t="n">
        <v>0</v>
      </c>
      <c r="N248" s="24" t="n">
        <v>149</v>
      </c>
      <c r="O248" s="24" t="n">
        <v>34</v>
      </c>
      <c r="P248" s="24" t="n">
        <v>29</v>
      </c>
      <c r="Q248" s="24" t="n">
        <v>16</v>
      </c>
      <c r="R248" s="24" t="n">
        <v>53</v>
      </c>
      <c r="S248" s="24" t="n">
        <v>0</v>
      </c>
      <c r="T248" s="24" t="n">
        <v>0</v>
      </c>
      <c r="U248" s="24" t="n">
        <v>132</v>
      </c>
      <c r="V248" s="24" t="n">
        <v>281</v>
      </c>
      <c r="W248" s="24" t="n">
        <f aca="false">N248+U248</f>
        <v>281</v>
      </c>
      <c r="X248" s="32" t="n">
        <f aca="false">IF(V248&gt;0,W248/V248,0)</f>
        <v>1</v>
      </c>
      <c r="Y248" s="9"/>
    </row>
    <row r="249" customFormat="false" ht="15" hidden="false" customHeight="false" outlineLevel="0" collapsed="false">
      <c r="A249" s="25" t="n">
        <v>2024</v>
      </c>
      <c r="B249" s="9" t="s">
        <v>254</v>
      </c>
      <c r="C249" s="9" t="s">
        <v>181</v>
      </c>
      <c r="D249" s="9" t="str">
        <f aca="false">INDEX(Lookups!$C$5:$C$75,MATCH($C249,Lookups!$A$5:$A$75,0))</f>
        <v>Europe</v>
      </c>
      <c r="E249" s="9" t="str">
        <f aca="false">INDEX(Lookups!$D$5:$D$75,MATCH($C249,Lookups!$A$5:$A$75,0))</f>
        <v>Europe</v>
      </c>
      <c r="F249" s="9" t="str">
        <f aca="false">IF($D249="Latin America &amp; Caribbean","Yes","No")</f>
        <v>No</v>
      </c>
      <c r="G249" s="9" t="str">
        <f aca="false">IF($C249="VEN","In-country record","Abroad")</f>
        <v>Abroad</v>
      </c>
      <c r="H249" s="24" t="n">
        <v>0</v>
      </c>
      <c r="I249" s="24" t="n">
        <v>0</v>
      </c>
      <c r="J249" s="24" t="n">
        <v>0</v>
      </c>
      <c r="K249" s="24" t="n">
        <v>0</v>
      </c>
      <c r="L249" s="24" t="n">
        <v>0</v>
      </c>
      <c r="M249" s="24" t="n">
        <v>701</v>
      </c>
      <c r="N249" s="24" t="n">
        <v>701</v>
      </c>
      <c r="O249" s="24" t="n">
        <v>0</v>
      </c>
      <c r="P249" s="24" t="n">
        <v>0</v>
      </c>
      <c r="Q249" s="24" t="n">
        <v>0</v>
      </c>
      <c r="R249" s="24" t="n">
        <v>0</v>
      </c>
      <c r="S249" s="24" t="n">
        <v>0</v>
      </c>
      <c r="T249" s="24" t="n">
        <v>675</v>
      </c>
      <c r="U249" s="24" t="n">
        <v>675</v>
      </c>
      <c r="V249" s="24" t="n">
        <v>1376</v>
      </c>
      <c r="W249" s="24" t="n">
        <f aca="false">N249+U249</f>
        <v>1376</v>
      </c>
      <c r="X249" s="32" t="n">
        <f aca="false">IF(V249&gt;0,W249/V249,0)</f>
        <v>1</v>
      </c>
      <c r="Y249" s="9"/>
    </row>
    <row r="250" customFormat="false" ht="15" hidden="false" customHeight="false" outlineLevel="0" collapsed="false">
      <c r="A250" s="25" t="n">
        <v>2024</v>
      </c>
      <c r="B250" s="9" t="s">
        <v>255</v>
      </c>
      <c r="C250" s="9" t="s">
        <v>171</v>
      </c>
      <c r="D250" s="9" t="str">
        <f aca="false">INDEX(Lookups!$C$5:$C$75,MATCH($C250,Lookups!$A$5:$A$75,0))</f>
        <v>Latin America &amp; Caribbean</v>
      </c>
      <c r="E250" s="9" t="str">
        <f aca="false">INDEX(Lookups!$D$5:$D$75,MATCH($C250,Lookups!$A$5:$A$75,0))</f>
        <v>Andean region</v>
      </c>
      <c r="F250" s="9" t="str">
        <f aca="false">IF($D250="Latin America &amp; Caribbean","Yes","No")</f>
        <v>Yes</v>
      </c>
      <c r="G250" s="9" t="str">
        <f aca="false">IF($C250="VEN","In-country record","Abroad")</f>
        <v>Abroad</v>
      </c>
      <c r="H250" s="24" t="n">
        <v>0</v>
      </c>
      <c r="I250" s="24" t="n">
        <v>0</v>
      </c>
      <c r="J250" s="24" t="n">
        <v>0</v>
      </c>
      <c r="K250" s="24" t="n">
        <v>0</v>
      </c>
      <c r="L250" s="24" t="n">
        <v>0</v>
      </c>
      <c r="M250" s="24" t="n">
        <v>8828</v>
      </c>
      <c r="N250" s="24" t="n">
        <v>8828</v>
      </c>
      <c r="O250" s="24" t="n">
        <v>0</v>
      </c>
      <c r="P250" s="24" t="n">
        <v>0</v>
      </c>
      <c r="Q250" s="24" t="n">
        <v>0</v>
      </c>
      <c r="R250" s="24" t="n">
        <v>0</v>
      </c>
      <c r="S250" s="24" t="n">
        <v>0</v>
      </c>
      <c r="T250" s="24" t="n">
        <v>9647</v>
      </c>
      <c r="U250" s="24" t="n">
        <v>9647</v>
      </c>
      <c r="V250" s="24" t="n">
        <v>29039</v>
      </c>
      <c r="W250" s="24" t="n">
        <f aca="false">N250+U250</f>
        <v>18475</v>
      </c>
      <c r="X250" s="32" t="n">
        <f aca="false">IF(V250&gt;0,W250/V250,0)</f>
        <v>0.636213368228934</v>
      </c>
      <c r="Y250" s="9"/>
    </row>
    <row r="251" customFormat="false" ht="15" hidden="false" customHeight="false" outlineLevel="0" collapsed="false">
      <c r="A251" s="25" t="n">
        <v>2024</v>
      </c>
      <c r="B251" s="9" t="s">
        <v>256</v>
      </c>
      <c r="C251" s="9" t="s">
        <v>157</v>
      </c>
      <c r="D251" s="9" t="str">
        <f aca="false">INDEX(Lookups!$C$5:$C$75,MATCH($C251,Lookups!$A$5:$A$75,0))</f>
        <v>Latin America &amp; Caribbean</v>
      </c>
      <c r="E251" s="9" t="str">
        <f aca="false">INDEX(Lookups!$D$5:$D$75,MATCH($C251,Lookups!$A$5:$A$75,0))</f>
        <v>Southern Cone &amp; Brazil</v>
      </c>
      <c r="F251" s="9" t="str">
        <f aca="false">IF($D251="Latin America &amp; Caribbean","Yes","No")</f>
        <v>Yes</v>
      </c>
      <c r="G251" s="9" t="str">
        <f aca="false">IF($C251="VEN","In-country record","Abroad")</f>
        <v>Abroad</v>
      </c>
      <c r="H251" s="24" t="n">
        <v>3435</v>
      </c>
      <c r="I251" s="24" t="n">
        <v>9963</v>
      </c>
      <c r="J251" s="24" t="n">
        <v>7310</v>
      </c>
      <c r="K251" s="24" t="n">
        <v>41568</v>
      </c>
      <c r="L251" s="24" t="n">
        <v>2392</v>
      </c>
      <c r="M251" s="24" t="n">
        <v>0</v>
      </c>
      <c r="N251" s="24" t="n">
        <v>64668</v>
      </c>
      <c r="O251" s="24" t="n">
        <v>3437</v>
      </c>
      <c r="P251" s="24" t="n">
        <v>10360</v>
      </c>
      <c r="Q251" s="24" t="n">
        <v>7742</v>
      </c>
      <c r="R251" s="24" t="n">
        <v>52395</v>
      </c>
      <c r="S251" s="24" t="n">
        <v>2148</v>
      </c>
      <c r="T251" s="24" t="n">
        <v>0</v>
      </c>
      <c r="U251" s="24" t="n">
        <v>76082</v>
      </c>
      <c r="V251" s="24" t="n">
        <v>626858</v>
      </c>
      <c r="W251" s="24" t="n">
        <f aca="false">N251+U251</f>
        <v>140750</v>
      </c>
      <c r="X251" s="32" t="n">
        <f aca="false">IF(V251&gt;0,W251/V251,0)</f>
        <v>0.224532509755</v>
      </c>
      <c r="Y251" s="9" t="s">
        <v>248</v>
      </c>
    </row>
    <row r="252" customFormat="false" ht="15" hidden="false" customHeight="false" outlineLevel="0" collapsed="false">
      <c r="A252" s="25" t="n">
        <v>2024</v>
      </c>
      <c r="B252" s="9" t="s">
        <v>258</v>
      </c>
      <c r="C252" s="9" t="s">
        <v>176</v>
      </c>
      <c r="D252" s="9" t="str">
        <f aca="false">INDEX(Lookups!$C$5:$C$75,MATCH($C252,Lookups!$A$5:$A$75,0))</f>
        <v>North America</v>
      </c>
      <c r="E252" s="9" t="str">
        <f aca="false">INDEX(Lookups!$D$5:$D$75,MATCH($C252,Lookups!$A$5:$A$75,0))</f>
        <v>North America</v>
      </c>
      <c r="F252" s="9" t="str">
        <f aca="false">IF($D252="Latin America &amp; Caribbean","Yes","No")</f>
        <v>No</v>
      </c>
      <c r="G252" s="9" t="str">
        <f aca="false">IF($C252="VEN","In-country record","Abroad")</f>
        <v>Abroad</v>
      </c>
      <c r="H252" s="24" t="n">
        <v>72</v>
      </c>
      <c r="I252" s="24" t="n">
        <v>339</v>
      </c>
      <c r="J252" s="24" t="n">
        <v>232</v>
      </c>
      <c r="K252" s="24" t="n">
        <v>1742</v>
      </c>
      <c r="L252" s="24" t="n">
        <v>377</v>
      </c>
      <c r="M252" s="24" t="n">
        <v>239</v>
      </c>
      <c r="N252" s="24" t="n">
        <v>3001</v>
      </c>
      <c r="O252" s="24" t="n">
        <v>74</v>
      </c>
      <c r="P252" s="24" t="n">
        <v>314</v>
      </c>
      <c r="Q252" s="24" t="n">
        <v>247</v>
      </c>
      <c r="R252" s="24" t="n">
        <v>2653</v>
      </c>
      <c r="S252" s="24" t="n">
        <v>187</v>
      </c>
      <c r="T252" s="24" t="n">
        <v>378</v>
      </c>
      <c r="U252" s="24" t="n">
        <v>3853</v>
      </c>
      <c r="V252" s="24" t="n">
        <v>6859</v>
      </c>
      <c r="W252" s="24" t="n">
        <f aca="false">N252+U252</f>
        <v>6854</v>
      </c>
      <c r="X252" s="32" t="n">
        <f aca="false">IF(V252&gt;0,W252/V252,0)</f>
        <v>0.999271030762502</v>
      </c>
      <c r="Y252" s="9"/>
    </row>
    <row r="253" customFormat="false" ht="15" hidden="false" customHeight="false" outlineLevel="0" collapsed="false">
      <c r="A253" s="25" t="n">
        <v>2024</v>
      </c>
      <c r="B253" s="9" t="s">
        <v>259</v>
      </c>
      <c r="C253" s="9" t="s">
        <v>195</v>
      </c>
      <c r="D253" s="9" t="str">
        <f aca="false">INDEX(Lookups!$C$5:$C$75,MATCH($C253,Lookups!$A$5:$A$75,0))</f>
        <v>Latin America &amp; Caribbean</v>
      </c>
      <c r="E253" s="9" t="str">
        <f aca="false">INDEX(Lookups!$D$5:$D$75,MATCH($C253,Lookups!$A$5:$A$75,0))</f>
        <v>Caribbean &amp; Guianas</v>
      </c>
      <c r="F253" s="9" t="str">
        <f aca="false">IF($D253="Latin America &amp; Caribbean","Yes","No")</f>
        <v>Yes</v>
      </c>
      <c r="G253" s="9" t="str">
        <f aca="false">IF($C253="VEN","In-country record","Abroad")</f>
        <v>Abroad</v>
      </c>
      <c r="H253" s="24" t="n">
        <v>0</v>
      </c>
      <c r="I253" s="24" t="n">
        <v>0</v>
      </c>
      <c r="J253" s="24" t="n">
        <v>0</v>
      </c>
      <c r="K253" s="24" t="n">
        <v>0</v>
      </c>
      <c r="L253" s="24" t="n">
        <v>0</v>
      </c>
      <c r="M253" s="24" t="n">
        <v>0</v>
      </c>
      <c r="N253" s="24" t="n">
        <v>0</v>
      </c>
      <c r="O253" s="24" t="n">
        <v>0</v>
      </c>
      <c r="P253" s="24" t="n">
        <v>0</v>
      </c>
      <c r="Q253" s="24" t="n">
        <v>0</v>
      </c>
      <c r="R253" s="24" t="n">
        <v>0</v>
      </c>
      <c r="S253" s="24" t="n">
        <v>0</v>
      </c>
      <c r="T253" s="24" t="n">
        <v>0</v>
      </c>
      <c r="U253" s="24" t="n">
        <v>0</v>
      </c>
      <c r="V253" s="24" t="n">
        <v>58</v>
      </c>
      <c r="W253" s="24" t="n">
        <f aca="false">N253+U253</f>
        <v>0</v>
      </c>
      <c r="X253" s="32" t="n">
        <f aca="false">IF(V253&gt;0,W253/V253,0)</f>
        <v>0</v>
      </c>
      <c r="Y253" s="9"/>
    </row>
    <row r="254" customFormat="false" ht="15" hidden="false" customHeight="false" outlineLevel="0" collapsed="false">
      <c r="A254" s="25" t="n">
        <v>2024</v>
      </c>
      <c r="B254" s="9" t="s">
        <v>260</v>
      </c>
      <c r="C254" s="9" t="s">
        <v>158</v>
      </c>
      <c r="D254" s="9" t="str">
        <f aca="false">INDEX(Lookups!$C$5:$C$75,MATCH($C254,Lookups!$A$5:$A$75,0))</f>
        <v>Latin America &amp; Caribbean</v>
      </c>
      <c r="E254" s="9" t="str">
        <f aca="false">INDEX(Lookups!$D$5:$D$75,MATCH($C254,Lookups!$A$5:$A$75,0))</f>
        <v>Southern Cone &amp; Brazil</v>
      </c>
      <c r="F254" s="9" t="str">
        <f aca="false">IF($D254="Latin America &amp; Caribbean","Yes","No")</f>
        <v>Yes</v>
      </c>
      <c r="G254" s="9" t="str">
        <f aca="false">IF($C254="VEN","In-country record","Abroad")</f>
        <v>Abroad</v>
      </c>
      <c r="H254" s="24" t="n">
        <v>4847</v>
      </c>
      <c r="I254" s="24" t="n">
        <v>28635</v>
      </c>
      <c r="J254" s="24" t="n">
        <v>19103</v>
      </c>
      <c r="K254" s="24" t="n">
        <v>198627</v>
      </c>
      <c r="L254" s="24" t="n">
        <v>13255</v>
      </c>
      <c r="M254" s="24" t="n">
        <v>0</v>
      </c>
      <c r="N254" s="24" t="n">
        <v>264467</v>
      </c>
      <c r="O254" s="24" t="n">
        <v>6025</v>
      </c>
      <c r="P254" s="24" t="n">
        <v>30341</v>
      </c>
      <c r="Q254" s="24" t="n">
        <v>18241</v>
      </c>
      <c r="R254" s="24" t="n">
        <v>207515</v>
      </c>
      <c r="S254" s="24" t="n">
        <v>6126</v>
      </c>
      <c r="T254" s="24" t="n">
        <v>0</v>
      </c>
      <c r="U254" s="24" t="n">
        <v>268248</v>
      </c>
      <c r="V254" s="24" t="n">
        <v>532715</v>
      </c>
      <c r="W254" s="24" t="n">
        <f aca="false">N254+U254</f>
        <v>532715</v>
      </c>
      <c r="X254" s="32" t="n">
        <f aca="false">IF(V254&gt;0,W254/V254,0)</f>
        <v>1</v>
      </c>
      <c r="Y254" s="9" t="s">
        <v>313</v>
      </c>
    </row>
    <row r="255" customFormat="false" ht="15" hidden="false" customHeight="false" outlineLevel="0" collapsed="false">
      <c r="A255" s="25" t="n">
        <v>2024</v>
      </c>
      <c r="B255" s="9" t="s">
        <v>101</v>
      </c>
      <c r="C255" s="9" t="s">
        <v>155</v>
      </c>
      <c r="D255" s="9" t="str">
        <f aca="false">INDEX(Lookups!$C$5:$C$75,MATCH($C255,Lookups!$A$5:$A$75,0))</f>
        <v>Latin America &amp; Caribbean</v>
      </c>
      <c r="E255" s="9" t="str">
        <f aca="false">INDEX(Lookups!$D$5:$D$75,MATCH($C255,Lookups!$A$5:$A$75,0))</f>
        <v>Andean region</v>
      </c>
      <c r="F255" s="9" t="str">
        <f aca="false">IF($D255="Latin America &amp; Caribbean","Yes","No")</f>
        <v>Yes</v>
      </c>
      <c r="G255" s="9" t="str">
        <f aca="false">IF($C255="VEN","In-country record","Abroad")</f>
        <v>Abroad</v>
      </c>
      <c r="H255" s="24" t="n">
        <v>45068</v>
      </c>
      <c r="I255" s="24" t="n">
        <v>257395</v>
      </c>
      <c r="J255" s="24" t="n">
        <v>172784</v>
      </c>
      <c r="K255" s="24" t="n">
        <v>989365</v>
      </c>
      <c r="L255" s="24" t="n">
        <v>48455</v>
      </c>
      <c r="M255" s="24" t="n">
        <v>0</v>
      </c>
      <c r="N255" s="24" t="n">
        <v>1513067</v>
      </c>
      <c r="O255" s="24" t="n">
        <v>38673</v>
      </c>
      <c r="P255" s="24" t="n">
        <v>278485</v>
      </c>
      <c r="Q255" s="24" t="n">
        <v>157748</v>
      </c>
      <c r="R255" s="24" t="n">
        <v>769625</v>
      </c>
      <c r="S255" s="24" t="n">
        <v>22006</v>
      </c>
      <c r="T255" s="24" t="n">
        <v>0</v>
      </c>
      <c r="U255" s="24" t="n">
        <v>1266537</v>
      </c>
      <c r="V255" s="24" t="n">
        <v>2808968</v>
      </c>
      <c r="W255" s="24" t="n">
        <f aca="false">N255+U255</f>
        <v>2779604</v>
      </c>
      <c r="X255" s="32" t="n">
        <f aca="false">IF(V255&gt;0,W255/V255,0)</f>
        <v>0.989546338726536</v>
      </c>
      <c r="Y255" s="9"/>
    </row>
    <row r="256" customFormat="false" ht="15" hidden="false" customHeight="false" outlineLevel="0" collapsed="false">
      <c r="A256" s="25" t="n">
        <v>2024</v>
      </c>
      <c r="B256" s="9" t="s">
        <v>261</v>
      </c>
      <c r="C256" s="9" t="s">
        <v>166</v>
      </c>
      <c r="D256" s="9" t="str">
        <f aca="false">INDEX(Lookups!$C$5:$C$75,MATCH($C256,Lookups!$A$5:$A$75,0))</f>
        <v>Latin America &amp; Caribbean</v>
      </c>
      <c r="E256" s="9" t="str">
        <f aca="false">INDEX(Lookups!$D$5:$D$75,MATCH($C256,Lookups!$A$5:$A$75,0))</f>
        <v>Central America &amp; Mexico</v>
      </c>
      <c r="F256" s="9" t="str">
        <f aca="false">IF($D256="Latin America &amp; Caribbean","Yes","No")</f>
        <v>Yes</v>
      </c>
      <c r="G256" s="9" t="str">
        <f aca="false">IF($C256="VEN","In-country record","Abroad")</f>
        <v>Abroad</v>
      </c>
      <c r="H256" s="24" t="n">
        <v>32</v>
      </c>
      <c r="I256" s="24" t="n">
        <v>476</v>
      </c>
      <c r="J256" s="24" t="n">
        <v>447</v>
      </c>
      <c r="K256" s="24" t="n">
        <v>4299</v>
      </c>
      <c r="L256" s="24" t="n">
        <v>592</v>
      </c>
      <c r="M256" s="24" t="n">
        <v>6509</v>
      </c>
      <c r="N256" s="24" t="n">
        <v>12355</v>
      </c>
      <c r="O256" s="24" t="n">
        <v>37</v>
      </c>
      <c r="P256" s="24" t="n">
        <v>530</v>
      </c>
      <c r="Q256" s="24" t="n">
        <v>485</v>
      </c>
      <c r="R256" s="24" t="n">
        <v>5325</v>
      </c>
      <c r="S256" s="24" t="n">
        <v>411</v>
      </c>
      <c r="T256" s="24" t="n">
        <v>6774</v>
      </c>
      <c r="U256" s="24" t="n">
        <v>13562</v>
      </c>
      <c r="V256" s="24" t="n">
        <v>29344</v>
      </c>
      <c r="W256" s="24" t="n">
        <f aca="false">N256+U256</f>
        <v>25917</v>
      </c>
      <c r="X256" s="32" t="n">
        <f aca="false">IF(V256&gt;0,W256/V256,0)</f>
        <v>0.88321292257361</v>
      </c>
      <c r="Y256" s="9"/>
    </row>
    <row r="257" customFormat="false" ht="15" hidden="false" customHeight="false" outlineLevel="0" collapsed="false">
      <c r="A257" s="25" t="n">
        <v>2024</v>
      </c>
      <c r="B257" s="9" t="s">
        <v>327</v>
      </c>
      <c r="C257" s="9" t="s">
        <v>206</v>
      </c>
      <c r="D257" s="9" t="str">
        <f aca="false">INDEX(Lookups!$C$5:$C$75,MATCH($C257,Lookups!$A$5:$A$75,0))</f>
        <v>Europe</v>
      </c>
      <c r="E257" s="9" t="str">
        <f aca="false">INDEX(Lookups!$D$5:$D$75,MATCH($C257,Lookups!$A$5:$A$75,0))</f>
        <v>Europe</v>
      </c>
      <c r="F257" s="9" t="str">
        <f aca="false">IF($D257="Latin America &amp; Caribbean","Yes","No")</f>
        <v>No</v>
      </c>
      <c r="G257" s="9" t="str">
        <f aca="false">IF($C257="VEN","In-country record","Abroad")</f>
        <v>Abroad</v>
      </c>
      <c r="H257" s="24" t="n">
        <v>0</v>
      </c>
      <c r="I257" s="24" t="n">
        <v>0</v>
      </c>
      <c r="J257" s="24" t="n">
        <v>0</v>
      </c>
      <c r="K257" s="24" t="n">
        <v>0</v>
      </c>
      <c r="L257" s="24" t="n">
        <v>0</v>
      </c>
      <c r="M257" s="24" t="n">
        <v>6</v>
      </c>
      <c r="N257" s="24" t="n">
        <v>6</v>
      </c>
      <c r="O257" s="24" t="n">
        <v>0</v>
      </c>
      <c r="P257" s="24" t="n">
        <v>0</v>
      </c>
      <c r="Q257" s="24" t="n">
        <v>0</v>
      </c>
      <c r="R257" s="24" t="n">
        <v>0</v>
      </c>
      <c r="S257" s="24" t="n">
        <v>0</v>
      </c>
      <c r="T257" s="24" t="n">
        <v>0</v>
      </c>
      <c r="U257" s="24" t="n">
        <v>0</v>
      </c>
      <c r="V257" s="24" t="n">
        <v>6</v>
      </c>
      <c r="W257" s="24" t="n">
        <f aca="false">N257+U257</f>
        <v>6</v>
      </c>
      <c r="X257" s="32" t="n">
        <f aca="false">IF(V257&gt;0,W257/V257,0)</f>
        <v>1</v>
      </c>
      <c r="Y257" s="9"/>
    </row>
    <row r="258" customFormat="false" ht="15" hidden="false" customHeight="false" outlineLevel="0" collapsed="false">
      <c r="A258" s="25" t="n">
        <v>2024</v>
      </c>
      <c r="B258" s="9" t="s">
        <v>262</v>
      </c>
      <c r="C258" s="9" t="s">
        <v>177</v>
      </c>
      <c r="D258" s="9" t="str">
        <f aca="false">INDEX(Lookups!$C$5:$C$75,MATCH($C258,Lookups!$A$5:$A$75,0))</f>
        <v>Latin America &amp; Caribbean</v>
      </c>
      <c r="E258" s="9" t="str">
        <f aca="false">INDEX(Lookups!$D$5:$D$75,MATCH($C258,Lookups!$A$5:$A$75,0))</f>
        <v>Caribbean &amp; Guianas</v>
      </c>
      <c r="F258" s="9" t="str">
        <f aca="false">IF($D258="Latin America &amp; Caribbean","Yes","No")</f>
        <v>Yes</v>
      </c>
      <c r="G258" s="9" t="str">
        <f aca="false">IF($C258="VEN","In-country record","Abroad")</f>
        <v>Abroad</v>
      </c>
      <c r="H258" s="24" t="n">
        <v>0</v>
      </c>
      <c r="I258" s="24" t="n">
        <v>0</v>
      </c>
      <c r="J258" s="24" t="n">
        <v>0</v>
      </c>
      <c r="K258" s="24" t="n">
        <v>0</v>
      </c>
      <c r="L258" s="24" t="n">
        <v>0</v>
      </c>
      <c r="M258" s="24" t="n">
        <v>0</v>
      </c>
      <c r="N258" s="24" t="n">
        <v>0</v>
      </c>
      <c r="O258" s="24" t="n">
        <v>0</v>
      </c>
      <c r="P258" s="24" t="n">
        <v>0</v>
      </c>
      <c r="Q258" s="24" t="n">
        <v>0</v>
      </c>
      <c r="R258" s="24" t="n">
        <v>0</v>
      </c>
      <c r="S258" s="24" t="n">
        <v>0</v>
      </c>
      <c r="T258" s="24" t="n">
        <v>0</v>
      </c>
      <c r="U258" s="24" t="n">
        <v>0</v>
      </c>
      <c r="V258" s="24" t="n">
        <v>11593</v>
      </c>
      <c r="W258" s="24" t="n">
        <f aca="false">N258+U258</f>
        <v>0</v>
      </c>
      <c r="X258" s="32" t="n">
        <f aca="false">IF(V258&gt;0,W258/V258,0)</f>
        <v>0</v>
      </c>
      <c r="Y258" s="9" t="s">
        <v>328</v>
      </c>
    </row>
    <row r="259" customFormat="false" ht="15" hidden="false" customHeight="false" outlineLevel="0" collapsed="false">
      <c r="A259" s="25" t="n">
        <v>2024</v>
      </c>
      <c r="B259" s="9" t="s">
        <v>263</v>
      </c>
      <c r="C259" s="9" t="s">
        <v>200</v>
      </c>
      <c r="D259" s="9" t="str">
        <f aca="false">INDEX(Lookups!$C$5:$C$75,MATCH($C259,Lookups!$A$5:$A$75,0))</f>
        <v>Europe</v>
      </c>
      <c r="E259" s="9" t="str">
        <f aca="false">INDEX(Lookups!$D$5:$D$75,MATCH($C259,Lookups!$A$5:$A$75,0))</f>
        <v>Europe</v>
      </c>
      <c r="F259" s="9" t="str">
        <f aca="false">IF($D259="Latin America &amp; Caribbean","Yes","No")</f>
        <v>No</v>
      </c>
      <c r="G259" s="9" t="str">
        <f aca="false">IF($C259="VEN","In-country record","Abroad")</f>
        <v>Abroad</v>
      </c>
      <c r="H259" s="24" t="n">
        <v>0</v>
      </c>
      <c r="I259" s="24" t="n">
        <v>0</v>
      </c>
      <c r="J259" s="24" t="n">
        <v>0</v>
      </c>
      <c r="K259" s="24" t="n">
        <v>0</v>
      </c>
      <c r="L259" s="24" t="n">
        <v>0</v>
      </c>
      <c r="M259" s="24" t="n">
        <v>0</v>
      </c>
      <c r="N259" s="24" t="n">
        <v>0</v>
      </c>
      <c r="O259" s="24" t="n">
        <v>0</v>
      </c>
      <c r="P259" s="24" t="n">
        <v>0</v>
      </c>
      <c r="Q259" s="24" t="n">
        <v>0</v>
      </c>
      <c r="R259" s="24" t="n">
        <v>0</v>
      </c>
      <c r="S259" s="24" t="n">
        <v>0</v>
      </c>
      <c r="T259" s="24" t="n">
        <v>7</v>
      </c>
      <c r="U259" s="24" t="n">
        <v>7</v>
      </c>
      <c r="V259" s="24" t="n">
        <v>28</v>
      </c>
      <c r="W259" s="24" t="n">
        <f aca="false">N259+U259</f>
        <v>7</v>
      </c>
      <c r="X259" s="32" t="n">
        <f aca="false">IF(V259&gt;0,W259/V259,0)</f>
        <v>0.25</v>
      </c>
      <c r="Y259" s="9"/>
    </row>
    <row r="260" customFormat="false" ht="15" hidden="false" customHeight="false" outlineLevel="0" collapsed="false">
      <c r="A260" s="25" t="n">
        <v>2024</v>
      </c>
      <c r="B260" s="9" t="s">
        <v>264</v>
      </c>
      <c r="C260" s="9" t="s">
        <v>203</v>
      </c>
      <c r="D260" s="9" t="str">
        <f aca="false">INDEX(Lookups!$C$5:$C$75,MATCH($C260,Lookups!$A$5:$A$75,0))</f>
        <v>Europe</v>
      </c>
      <c r="E260" s="9" t="str">
        <f aca="false">INDEX(Lookups!$D$5:$D$75,MATCH($C260,Lookups!$A$5:$A$75,0))</f>
        <v>Europe</v>
      </c>
      <c r="F260" s="9" t="str">
        <f aca="false">IF($D260="Latin America &amp; Caribbean","Yes","No")</f>
        <v>No</v>
      </c>
      <c r="G260" s="9" t="str">
        <f aca="false">IF($C260="VEN","In-country record","Abroad")</f>
        <v>Abroad</v>
      </c>
      <c r="H260" s="24" t="n">
        <v>0</v>
      </c>
      <c r="I260" s="24" t="n">
        <v>0</v>
      </c>
      <c r="J260" s="24" t="n">
        <v>0</v>
      </c>
      <c r="K260" s="24" t="n">
        <v>0</v>
      </c>
      <c r="L260" s="24" t="n">
        <v>0</v>
      </c>
      <c r="M260" s="24" t="n">
        <v>0</v>
      </c>
      <c r="N260" s="24" t="n">
        <v>0</v>
      </c>
      <c r="O260" s="24" t="n">
        <v>5</v>
      </c>
      <c r="P260" s="24" t="n">
        <v>0</v>
      </c>
      <c r="Q260" s="24" t="n">
        <v>0</v>
      </c>
      <c r="R260" s="24" t="n">
        <v>0</v>
      </c>
      <c r="S260" s="24" t="n">
        <v>0</v>
      </c>
      <c r="T260" s="24" t="n">
        <v>5</v>
      </c>
      <c r="U260" s="24" t="n">
        <v>10</v>
      </c>
      <c r="V260" s="24" t="n">
        <v>10</v>
      </c>
      <c r="W260" s="24" t="n">
        <f aca="false">N260+U260</f>
        <v>10</v>
      </c>
      <c r="X260" s="32" t="n">
        <f aca="false">IF(V260&gt;0,W260/V260,0)</f>
        <v>1</v>
      </c>
      <c r="Y260" s="9"/>
    </row>
    <row r="261" customFormat="false" ht="15" hidden="false" customHeight="false" outlineLevel="0" collapsed="false">
      <c r="A261" s="25" t="n">
        <v>2024</v>
      </c>
      <c r="B261" s="9" t="s">
        <v>265</v>
      </c>
      <c r="C261" s="9" t="s">
        <v>164</v>
      </c>
      <c r="D261" s="9" t="str">
        <f aca="false">INDEX(Lookups!$C$5:$C$75,MATCH($C261,Lookups!$A$5:$A$75,0))</f>
        <v>Latin America &amp; Caribbean</v>
      </c>
      <c r="E261" s="9" t="str">
        <f aca="false">INDEX(Lookups!$D$5:$D$75,MATCH($C261,Lookups!$A$5:$A$75,0))</f>
        <v>Caribbean &amp; Guianas</v>
      </c>
      <c r="F261" s="9" t="str">
        <f aca="false">IF($D261="Latin America &amp; Caribbean","Yes","No")</f>
        <v>Yes</v>
      </c>
      <c r="G261" s="9" t="str">
        <f aca="false">IF($C261="VEN","In-country record","Abroad")</f>
        <v>Abroad</v>
      </c>
      <c r="H261" s="24" t="n">
        <v>0</v>
      </c>
      <c r="I261" s="24" t="n">
        <v>0</v>
      </c>
      <c r="J261" s="24" t="n">
        <v>0</v>
      </c>
      <c r="K261" s="24" t="n">
        <v>0</v>
      </c>
      <c r="L261" s="24" t="n">
        <v>0</v>
      </c>
      <c r="M261" s="24" t="n">
        <v>0</v>
      </c>
      <c r="N261" s="24" t="n">
        <v>0</v>
      </c>
      <c r="O261" s="24" t="n">
        <v>0</v>
      </c>
      <c r="P261" s="24" t="n">
        <v>0</v>
      </c>
      <c r="Q261" s="24" t="n">
        <v>0</v>
      </c>
      <c r="R261" s="24" t="n">
        <v>0</v>
      </c>
      <c r="S261" s="24" t="n">
        <v>0</v>
      </c>
      <c r="T261" s="24" t="n">
        <v>0</v>
      </c>
      <c r="U261" s="24" t="n">
        <v>0</v>
      </c>
      <c r="V261" s="24" t="n">
        <v>125549</v>
      </c>
      <c r="W261" s="24" t="n">
        <f aca="false">N261+U261</f>
        <v>0</v>
      </c>
      <c r="X261" s="32" t="n">
        <f aca="false">IF(V261&gt;0,W261/V261,0)</f>
        <v>0</v>
      </c>
      <c r="Y261" s="9" t="s">
        <v>248</v>
      </c>
    </row>
    <row r="262" customFormat="false" ht="15" hidden="false" customHeight="false" outlineLevel="0" collapsed="false">
      <c r="A262" s="25" t="n">
        <v>2024</v>
      </c>
      <c r="B262" s="9" t="s">
        <v>266</v>
      </c>
      <c r="C262" s="9" t="s">
        <v>159</v>
      </c>
      <c r="D262" s="9" t="str">
        <f aca="false">INDEX(Lookups!$C$5:$C$75,MATCH($C262,Lookups!$A$5:$A$75,0))</f>
        <v>Latin America &amp; Caribbean</v>
      </c>
      <c r="E262" s="9" t="str">
        <f aca="false">INDEX(Lookups!$D$5:$D$75,MATCH($C262,Lookups!$A$5:$A$75,0))</f>
        <v>Andean region</v>
      </c>
      <c r="F262" s="9" t="str">
        <f aca="false">IF($D262="Latin America &amp; Caribbean","Yes","No")</f>
        <v>Yes</v>
      </c>
      <c r="G262" s="9" t="str">
        <f aca="false">IF($C262="VEN","In-country record","Abroad")</f>
        <v>Abroad</v>
      </c>
      <c r="H262" s="24" t="n">
        <v>8059</v>
      </c>
      <c r="I262" s="24" t="n">
        <v>32259</v>
      </c>
      <c r="J262" s="24" t="n">
        <v>21704</v>
      </c>
      <c r="K262" s="24" t="n">
        <v>159450</v>
      </c>
      <c r="L262" s="24" t="n">
        <v>9341</v>
      </c>
      <c r="M262" s="24" t="n">
        <v>0</v>
      </c>
      <c r="N262" s="24" t="n">
        <v>230813</v>
      </c>
      <c r="O262" s="24" t="n">
        <v>8305</v>
      </c>
      <c r="P262" s="24" t="n">
        <v>34536</v>
      </c>
      <c r="Q262" s="24" t="n">
        <v>22779</v>
      </c>
      <c r="R262" s="24" t="n">
        <v>143170</v>
      </c>
      <c r="S262" s="24" t="n">
        <v>5175</v>
      </c>
      <c r="T262" s="24" t="n">
        <v>0</v>
      </c>
      <c r="U262" s="24" t="n">
        <v>213965</v>
      </c>
      <c r="V262" s="24" t="n">
        <v>444778</v>
      </c>
      <c r="W262" s="24" t="n">
        <f aca="false">N262+U262</f>
        <v>444778</v>
      </c>
      <c r="X262" s="32" t="n">
        <f aca="false">IF(V262&gt;0,W262/V262,0)</f>
        <v>1</v>
      </c>
      <c r="Y262" s="9"/>
    </row>
    <row r="263" customFormat="false" ht="15" hidden="false" customHeight="false" outlineLevel="0" collapsed="false">
      <c r="A263" s="25" t="n">
        <v>2024</v>
      </c>
      <c r="B263" s="9" t="s">
        <v>267</v>
      </c>
      <c r="C263" s="9" t="s">
        <v>197</v>
      </c>
      <c r="D263" s="9" t="str">
        <f aca="false">INDEX(Lookups!$C$5:$C$75,MATCH($C263,Lookups!$A$5:$A$75,0))</f>
        <v>Latin America &amp; Caribbean</v>
      </c>
      <c r="E263" s="9" t="str">
        <f aca="false">INDEX(Lookups!$D$5:$D$75,MATCH($C263,Lookups!$A$5:$A$75,0))</f>
        <v>Central America &amp; Mexico</v>
      </c>
      <c r="F263" s="9" t="str">
        <f aca="false">IF($D263="Latin America &amp; Caribbean","Yes","No")</f>
        <v>Yes</v>
      </c>
      <c r="G263" s="9" t="str">
        <f aca="false">IF($C263="VEN","In-country record","Abroad")</f>
        <v>Abroad</v>
      </c>
      <c r="H263" s="24" t="n">
        <v>0</v>
      </c>
      <c r="I263" s="24" t="n">
        <v>0</v>
      </c>
      <c r="J263" s="24" t="n">
        <v>5</v>
      </c>
      <c r="K263" s="24" t="n">
        <v>9</v>
      </c>
      <c r="L263" s="24" t="n">
        <v>0</v>
      </c>
      <c r="M263" s="24" t="n">
        <v>0</v>
      </c>
      <c r="N263" s="24" t="n">
        <v>14</v>
      </c>
      <c r="O263" s="24" t="n">
        <v>0</v>
      </c>
      <c r="P263" s="24" t="n">
        <v>0</v>
      </c>
      <c r="Q263" s="24" t="n">
        <v>5</v>
      </c>
      <c r="R263" s="24" t="n">
        <v>24</v>
      </c>
      <c r="S263" s="24" t="n">
        <v>0</v>
      </c>
      <c r="T263" s="24" t="n">
        <v>0</v>
      </c>
      <c r="U263" s="24" t="n">
        <v>29</v>
      </c>
      <c r="V263" s="24" t="n">
        <v>43</v>
      </c>
      <c r="W263" s="24" t="n">
        <f aca="false">N263+U263</f>
        <v>43</v>
      </c>
      <c r="X263" s="32" t="n">
        <f aca="false">IF(V263&gt;0,W263/V263,0)</f>
        <v>1</v>
      </c>
      <c r="Y263" s="9"/>
    </row>
    <row r="264" customFormat="false" ht="15" hidden="false" customHeight="false" outlineLevel="0" collapsed="false">
      <c r="A264" s="25" t="n">
        <v>2024</v>
      </c>
      <c r="B264" s="9" t="s">
        <v>268</v>
      </c>
      <c r="C264" s="9" t="s">
        <v>198</v>
      </c>
      <c r="D264" s="9" t="str">
        <f aca="false">INDEX(Lookups!$C$5:$C$75,MATCH($C264,Lookups!$A$5:$A$75,0))</f>
        <v>Europe</v>
      </c>
      <c r="E264" s="9" t="str">
        <f aca="false">INDEX(Lookups!$D$5:$D$75,MATCH($C264,Lookups!$A$5:$A$75,0))</f>
        <v>Europe</v>
      </c>
      <c r="F264" s="9" t="str">
        <f aca="false">IF($D264="Latin America &amp; Caribbean","Yes","No")</f>
        <v>No</v>
      </c>
      <c r="G264" s="9" t="str">
        <f aca="false">IF($C264="VEN","In-country record","Abroad")</f>
        <v>Abroad</v>
      </c>
      <c r="H264" s="24" t="n">
        <v>5</v>
      </c>
      <c r="I264" s="24" t="n">
        <v>0</v>
      </c>
      <c r="J264" s="24" t="n">
        <v>5</v>
      </c>
      <c r="K264" s="24" t="n">
        <v>22</v>
      </c>
      <c r="L264" s="24" t="n">
        <v>0</v>
      </c>
      <c r="M264" s="24" t="n">
        <v>0</v>
      </c>
      <c r="N264" s="24" t="n">
        <v>32</v>
      </c>
      <c r="O264" s="24" t="n">
        <v>0</v>
      </c>
      <c r="P264" s="24" t="n">
        <v>0</v>
      </c>
      <c r="Q264" s="24" t="n">
        <v>0</v>
      </c>
      <c r="R264" s="24" t="n">
        <v>29</v>
      </c>
      <c r="S264" s="24" t="n">
        <v>0</v>
      </c>
      <c r="T264" s="24" t="n">
        <v>0</v>
      </c>
      <c r="U264" s="24" t="n">
        <v>29</v>
      </c>
      <c r="V264" s="24" t="n">
        <v>61</v>
      </c>
      <c r="W264" s="24" t="n">
        <f aca="false">N264+U264</f>
        <v>61</v>
      </c>
      <c r="X264" s="32" t="n">
        <f aca="false">IF(V264&gt;0,W264/V264,0)</f>
        <v>1</v>
      </c>
      <c r="Y264" s="9"/>
    </row>
    <row r="265" customFormat="false" ht="15" hidden="false" customHeight="false" outlineLevel="0" collapsed="false">
      <c r="A265" s="25" t="n">
        <v>2024</v>
      </c>
      <c r="B265" s="9" t="s">
        <v>269</v>
      </c>
      <c r="C265" s="9" t="s">
        <v>179</v>
      </c>
      <c r="D265" s="9" t="str">
        <f aca="false">INDEX(Lookups!$C$5:$C$75,MATCH($C265,Lookups!$A$5:$A$75,0))</f>
        <v>Europe</v>
      </c>
      <c r="E265" s="9" t="str">
        <f aca="false">INDEX(Lookups!$D$5:$D$75,MATCH($C265,Lookups!$A$5:$A$75,0))</f>
        <v>Europe</v>
      </c>
      <c r="F265" s="9" t="str">
        <f aca="false">IF($D265="Latin America &amp; Caribbean","Yes","No")</f>
        <v>No</v>
      </c>
      <c r="G265" s="9" t="str">
        <f aca="false">IF($C265="VEN","In-country record","Abroad")</f>
        <v>Abroad</v>
      </c>
      <c r="H265" s="24" t="n">
        <v>0</v>
      </c>
      <c r="I265" s="24" t="n">
        <v>0</v>
      </c>
      <c r="J265" s="24" t="n">
        <v>0</v>
      </c>
      <c r="K265" s="24" t="n">
        <v>0</v>
      </c>
      <c r="L265" s="24" t="n">
        <v>0</v>
      </c>
      <c r="M265" s="24" t="n">
        <v>1445</v>
      </c>
      <c r="N265" s="24" t="n">
        <v>1445</v>
      </c>
      <c r="O265" s="24" t="n">
        <v>0</v>
      </c>
      <c r="P265" s="24" t="n">
        <v>0</v>
      </c>
      <c r="Q265" s="24" t="n">
        <v>0</v>
      </c>
      <c r="R265" s="24" t="n">
        <v>0</v>
      </c>
      <c r="S265" s="24" t="n">
        <v>0</v>
      </c>
      <c r="T265" s="24" t="n">
        <v>1281</v>
      </c>
      <c r="U265" s="24" t="n">
        <v>1281</v>
      </c>
      <c r="V265" s="24" t="n">
        <v>3038</v>
      </c>
      <c r="W265" s="24" t="n">
        <f aca="false">N265+U265</f>
        <v>2726</v>
      </c>
      <c r="X265" s="32" t="n">
        <f aca="false">IF(V265&gt;0,W265/V265,0)</f>
        <v>0.897300855826201</v>
      </c>
      <c r="Y265" s="9"/>
    </row>
    <row r="266" customFormat="false" ht="15" hidden="false" customHeight="false" outlineLevel="0" collapsed="false">
      <c r="A266" s="25" t="n">
        <v>2024</v>
      </c>
      <c r="B266" s="9" t="s">
        <v>270</v>
      </c>
      <c r="C266" s="9" t="s">
        <v>175</v>
      </c>
      <c r="D266" s="9" t="str">
        <f aca="false">INDEX(Lookups!$C$5:$C$75,MATCH($C266,Lookups!$A$5:$A$75,0))</f>
        <v>Europe</v>
      </c>
      <c r="E266" s="9" t="str">
        <f aca="false">INDEX(Lookups!$D$5:$D$75,MATCH($C266,Lookups!$A$5:$A$75,0))</f>
        <v>Europe</v>
      </c>
      <c r="F266" s="9" t="str">
        <f aca="false">IF($D266="Latin America &amp; Caribbean","Yes","No")</f>
        <v>No</v>
      </c>
      <c r="G266" s="9" t="str">
        <f aca="false">IF($C266="VEN","In-country record","Abroad")</f>
        <v>Abroad</v>
      </c>
      <c r="H266" s="24" t="n">
        <v>219</v>
      </c>
      <c r="I266" s="24" t="n">
        <v>433</v>
      </c>
      <c r="J266" s="24" t="n">
        <v>322</v>
      </c>
      <c r="K266" s="24" t="n">
        <v>2797</v>
      </c>
      <c r="L266" s="24" t="n">
        <v>323</v>
      </c>
      <c r="M266" s="24" t="n">
        <v>0</v>
      </c>
      <c r="N266" s="24" t="n">
        <v>4094</v>
      </c>
      <c r="O266" s="24" t="n">
        <v>239</v>
      </c>
      <c r="P266" s="24" t="n">
        <v>444</v>
      </c>
      <c r="Q266" s="24" t="n">
        <v>376</v>
      </c>
      <c r="R266" s="24" t="n">
        <v>3063</v>
      </c>
      <c r="S266" s="24" t="n">
        <v>154</v>
      </c>
      <c r="T266" s="24" t="n">
        <v>5</v>
      </c>
      <c r="U266" s="24" t="n">
        <v>4281</v>
      </c>
      <c r="V266" s="24" t="n">
        <v>8380</v>
      </c>
      <c r="W266" s="24" t="n">
        <f aca="false">N266+U266</f>
        <v>8375</v>
      </c>
      <c r="X266" s="32" t="n">
        <f aca="false">IF(V266&gt;0,W266/V266,0)</f>
        <v>0.999403341288783</v>
      </c>
      <c r="Y266" s="9"/>
    </row>
    <row r="267" customFormat="false" ht="15" hidden="false" customHeight="false" outlineLevel="0" collapsed="false">
      <c r="A267" s="25" t="n">
        <v>2024</v>
      </c>
      <c r="B267" s="9" t="s">
        <v>271</v>
      </c>
      <c r="C267" s="9" t="s">
        <v>199</v>
      </c>
      <c r="D267" s="9" t="str">
        <f aca="false">INDEX(Lookups!$C$5:$C$75,MATCH($C267,Lookups!$A$5:$A$75,0))</f>
        <v>Europe</v>
      </c>
      <c r="E267" s="9" t="str">
        <f aca="false">INDEX(Lookups!$D$5:$D$75,MATCH($C267,Lookups!$A$5:$A$75,0))</f>
        <v>Europe</v>
      </c>
      <c r="F267" s="9" t="str">
        <f aca="false">IF($D267="Latin America &amp; Caribbean","Yes","No")</f>
        <v>No</v>
      </c>
      <c r="G267" s="9" t="str">
        <f aca="false">IF($C267="VEN","In-country record","Abroad")</f>
        <v>Abroad</v>
      </c>
      <c r="H267" s="24" t="n">
        <v>0</v>
      </c>
      <c r="I267" s="24" t="n">
        <v>5</v>
      </c>
      <c r="J267" s="24" t="n">
        <v>0</v>
      </c>
      <c r="K267" s="24" t="n">
        <v>13</v>
      </c>
      <c r="L267" s="24" t="n">
        <v>0</v>
      </c>
      <c r="M267" s="24" t="n">
        <v>0</v>
      </c>
      <c r="N267" s="24" t="n">
        <v>18</v>
      </c>
      <c r="O267" s="24" t="n">
        <v>0</v>
      </c>
      <c r="P267" s="24" t="n">
        <v>0</v>
      </c>
      <c r="Q267" s="24" t="n">
        <v>0</v>
      </c>
      <c r="R267" s="24" t="n">
        <v>6</v>
      </c>
      <c r="S267" s="24" t="n">
        <v>0</v>
      </c>
      <c r="T267" s="24" t="n">
        <v>5</v>
      </c>
      <c r="U267" s="24" t="n">
        <v>11</v>
      </c>
      <c r="V267" s="24" t="n">
        <v>29</v>
      </c>
      <c r="W267" s="24" t="n">
        <f aca="false">N267+U267</f>
        <v>29</v>
      </c>
      <c r="X267" s="32" t="n">
        <f aca="false">IF(V267&gt;0,W267/V267,0)</f>
        <v>1</v>
      </c>
      <c r="Y267" s="9"/>
    </row>
    <row r="268" customFormat="false" ht="15" hidden="false" customHeight="false" outlineLevel="0" collapsed="false">
      <c r="A268" s="25" t="n">
        <v>2024</v>
      </c>
      <c r="B268" s="9" t="s">
        <v>273</v>
      </c>
      <c r="C268" s="9" t="s">
        <v>172</v>
      </c>
      <c r="D268" s="9" t="str">
        <f aca="false">INDEX(Lookups!$C$5:$C$75,MATCH($C268,Lookups!$A$5:$A$75,0))</f>
        <v>Latin America &amp; Caribbean</v>
      </c>
      <c r="E268" s="9" t="str">
        <f aca="false">INDEX(Lookups!$D$5:$D$75,MATCH($C268,Lookups!$A$5:$A$75,0))</f>
        <v>Central America &amp; Mexico</v>
      </c>
      <c r="F268" s="9" t="str">
        <f aca="false">IF($D268="Latin America &amp; Caribbean","Yes","No")</f>
        <v>Yes</v>
      </c>
      <c r="G268" s="9" t="str">
        <f aca="false">IF($C268="VEN","In-country record","Abroad")</f>
        <v>Abroad</v>
      </c>
      <c r="H268" s="24" t="n">
        <v>1373</v>
      </c>
      <c r="I268" s="24" t="n">
        <v>1397</v>
      </c>
      <c r="J268" s="24" t="n">
        <v>9255</v>
      </c>
      <c r="K268" s="24" t="n">
        <v>29907</v>
      </c>
      <c r="L268" s="24" t="n">
        <v>106</v>
      </c>
      <c r="M268" s="24" t="n">
        <v>0</v>
      </c>
      <c r="N268" s="24" t="n">
        <v>42038</v>
      </c>
      <c r="O268" s="24" t="n">
        <v>1808</v>
      </c>
      <c r="P268" s="24" t="n">
        <v>1829</v>
      </c>
      <c r="Q268" s="24" t="n">
        <v>12211</v>
      </c>
      <c r="R268" s="24" t="n">
        <v>39562</v>
      </c>
      <c r="S268" s="24" t="n">
        <v>10</v>
      </c>
      <c r="T268" s="24" t="n">
        <v>0</v>
      </c>
      <c r="U268" s="24" t="n">
        <v>55420</v>
      </c>
      <c r="V268" s="24" t="n">
        <v>97458</v>
      </c>
      <c r="W268" s="24" t="n">
        <f aca="false">N268+U268</f>
        <v>97458</v>
      </c>
      <c r="X268" s="32" t="n">
        <f aca="false">IF(V268&gt;0,W268/V268,0)</f>
        <v>1</v>
      </c>
      <c r="Y268" s="9" t="s">
        <v>319</v>
      </c>
    </row>
    <row r="269" customFormat="false" ht="15" hidden="false" customHeight="false" outlineLevel="0" collapsed="false">
      <c r="A269" s="25" t="n">
        <v>2024</v>
      </c>
      <c r="B269" s="9" t="s">
        <v>274</v>
      </c>
      <c r="C269" s="9" t="s">
        <v>169</v>
      </c>
      <c r="D269" s="9" t="str">
        <f aca="false">INDEX(Lookups!$C$5:$C$75,MATCH($C269,Lookups!$A$5:$A$75,0))</f>
        <v>Latin America &amp; Caribbean</v>
      </c>
      <c r="E269" s="9" t="str">
        <f aca="false">INDEX(Lookups!$D$5:$D$75,MATCH($C269,Lookups!$A$5:$A$75,0))</f>
        <v>Caribbean &amp; Guianas</v>
      </c>
      <c r="F269" s="9" t="str">
        <f aca="false">IF($D269="Latin America &amp; Caribbean","Yes","No")</f>
        <v>Yes</v>
      </c>
      <c r="G269" s="9" t="str">
        <f aca="false">IF($C269="VEN","In-country record","Abroad")</f>
        <v>Abroad</v>
      </c>
      <c r="H269" s="24" t="n">
        <v>0</v>
      </c>
      <c r="I269" s="24" t="n">
        <v>0</v>
      </c>
      <c r="J269" s="24" t="n">
        <v>0</v>
      </c>
      <c r="K269" s="24" t="n">
        <v>5</v>
      </c>
      <c r="L269" s="24" t="n">
        <v>0</v>
      </c>
      <c r="M269" s="24" t="n">
        <v>0</v>
      </c>
      <c r="N269" s="24" t="n">
        <v>5</v>
      </c>
      <c r="O269" s="24" t="n">
        <v>0</v>
      </c>
      <c r="P269" s="24" t="n">
        <v>0</v>
      </c>
      <c r="Q269" s="24" t="n">
        <v>0</v>
      </c>
      <c r="R269" s="24" t="n">
        <v>6</v>
      </c>
      <c r="S269" s="24" t="n">
        <v>0</v>
      </c>
      <c r="T269" s="24" t="n">
        <v>0</v>
      </c>
      <c r="U269" s="24" t="n">
        <v>6</v>
      </c>
      <c r="V269" s="24" t="n">
        <v>23411</v>
      </c>
      <c r="W269" s="24" t="n">
        <f aca="false">N269+U269</f>
        <v>11</v>
      </c>
      <c r="X269" s="32" t="n">
        <f aca="false">IF(V269&gt;0,W269/V269,0)</f>
        <v>0.000469864593567127</v>
      </c>
      <c r="Y269" s="9" t="s">
        <v>248</v>
      </c>
    </row>
    <row r="270" customFormat="false" ht="15" hidden="false" customHeight="false" outlineLevel="0" collapsed="false">
      <c r="A270" s="25" t="n">
        <v>2024</v>
      </c>
      <c r="B270" s="9" t="s">
        <v>275</v>
      </c>
      <c r="C270" s="9" t="s">
        <v>170</v>
      </c>
      <c r="D270" s="9" t="str">
        <f aca="false">INDEX(Lookups!$C$5:$C$75,MATCH($C270,Lookups!$A$5:$A$75,0))</f>
        <v>Latin America &amp; Caribbean</v>
      </c>
      <c r="E270" s="9" t="str">
        <f aca="false">INDEX(Lookups!$D$5:$D$75,MATCH($C270,Lookups!$A$5:$A$75,0))</f>
        <v>Central America &amp; Mexico</v>
      </c>
      <c r="F270" s="9" t="str">
        <f aca="false">IF($D270="Latin America &amp; Caribbean","Yes","No")</f>
        <v>Yes</v>
      </c>
      <c r="G270" s="9" t="str">
        <f aca="false">IF($C270="VEN","In-country record","Abroad")</f>
        <v>Abroad</v>
      </c>
      <c r="H270" s="24" t="n">
        <v>0</v>
      </c>
      <c r="I270" s="24" t="n">
        <v>6</v>
      </c>
      <c r="J270" s="24" t="n">
        <v>7</v>
      </c>
      <c r="K270" s="24" t="n">
        <v>15</v>
      </c>
      <c r="L270" s="24" t="n">
        <v>0</v>
      </c>
      <c r="M270" s="24" t="n">
        <v>0</v>
      </c>
      <c r="N270" s="24" t="n">
        <v>28</v>
      </c>
      <c r="O270" s="24" t="n">
        <v>5</v>
      </c>
      <c r="P270" s="24" t="n">
        <v>8</v>
      </c>
      <c r="Q270" s="24" t="n">
        <v>0</v>
      </c>
      <c r="R270" s="24" t="n">
        <v>30</v>
      </c>
      <c r="S270" s="24" t="n">
        <v>0</v>
      </c>
      <c r="T270" s="24" t="n">
        <v>0</v>
      </c>
      <c r="U270" s="24" t="n">
        <v>43</v>
      </c>
      <c r="V270" s="24" t="n">
        <v>85476</v>
      </c>
      <c r="W270" s="24" t="n">
        <f aca="false">N270+U270</f>
        <v>71</v>
      </c>
      <c r="X270" s="32" t="n">
        <f aca="false">IF(V270&gt;0,W270/V270,0)</f>
        <v>0.000830642519537648</v>
      </c>
      <c r="Y270" s="9" t="s">
        <v>320</v>
      </c>
    </row>
    <row r="271" customFormat="false" ht="15" hidden="false" customHeight="false" outlineLevel="0" collapsed="false">
      <c r="A271" s="25" t="n">
        <v>2024</v>
      </c>
      <c r="B271" s="9" t="s">
        <v>329</v>
      </c>
      <c r="C271" s="9" t="s">
        <v>213</v>
      </c>
      <c r="D271" s="9" t="str">
        <f aca="false">INDEX(Lookups!$C$5:$C$75,MATCH($C271,Lookups!$A$5:$A$75,0))</f>
        <v>Europe</v>
      </c>
      <c r="E271" s="9" t="str">
        <f aca="false">INDEX(Lookups!$D$5:$D$75,MATCH($C271,Lookups!$A$5:$A$75,0))</f>
        <v>Europe</v>
      </c>
      <c r="F271" s="9" t="str">
        <f aca="false">IF($D271="Latin America &amp; Caribbean","Yes","No")</f>
        <v>No</v>
      </c>
      <c r="G271" s="9" t="str">
        <f aca="false">IF($C271="VEN","In-country record","Abroad")</f>
        <v>Abroad</v>
      </c>
      <c r="H271" s="24" t="n">
        <v>0</v>
      </c>
      <c r="I271" s="24" t="n">
        <v>0</v>
      </c>
      <c r="J271" s="24" t="n">
        <v>0</v>
      </c>
      <c r="K271" s="24" t="n">
        <v>0</v>
      </c>
      <c r="L271" s="24" t="n">
        <v>0</v>
      </c>
      <c r="M271" s="24" t="n">
        <v>0</v>
      </c>
      <c r="N271" s="24" t="n">
        <v>0</v>
      </c>
      <c r="O271" s="24" t="n">
        <v>0</v>
      </c>
      <c r="P271" s="24" t="n">
        <v>0</v>
      </c>
      <c r="Q271" s="24" t="n">
        <v>0</v>
      </c>
      <c r="R271" s="24" t="n">
        <v>0</v>
      </c>
      <c r="S271" s="24" t="n">
        <v>0</v>
      </c>
      <c r="T271" s="24" t="n">
        <v>5</v>
      </c>
      <c r="U271" s="24" t="n">
        <v>5</v>
      </c>
      <c r="V271" s="24" t="n">
        <v>5</v>
      </c>
      <c r="W271" s="24" t="n">
        <f aca="false">N271+U271</f>
        <v>5</v>
      </c>
      <c r="X271" s="32" t="n">
        <f aca="false">IF(V271&gt;0,W271/V271,0)</f>
        <v>1</v>
      </c>
      <c r="Y271" s="9"/>
    </row>
    <row r="272" customFormat="false" ht="15" hidden="false" customHeight="false" outlineLevel="0" collapsed="false">
      <c r="A272" s="25" t="n">
        <v>2024</v>
      </c>
      <c r="B272" s="9" t="s">
        <v>276</v>
      </c>
      <c r="C272" s="9" t="s">
        <v>180</v>
      </c>
      <c r="D272" s="9" t="str">
        <f aca="false">INDEX(Lookups!$C$5:$C$75,MATCH($C272,Lookups!$A$5:$A$75,0))</f>
        <v>Europe</v>
      </c>
      <c r="E272" s="9" t="str">
        <f aca="false">INDEX(Lookups!$D$5:$D$75,MATCH($C272,Lookups!$A$5:$A$75,0))</f>
        <v>Europe</v>
      </c>
      <c r="F272" s="9" t="str">
        <f aca="false">IF($D272="Latin America &amp; Caribbean","Yes","No")</f>
        <v>No</v>
      </c>
      <c r="G272" s="9" t="str">
        <f aca="false">IF($C272="VEN","In-country record","Abroad")</f>
        <v>Abroad</v>
      </c>
      <c r="H272" s="24" t="n">
        <v>0</v>
      </c>
      <c r="I272" s="24" t="n">
        <v>0</v>
      </c>
      <c r="J272" s="24" t="n">
        <v>0</v>
      </c>
      <c r="K272" s="24" t="n">
        <v>0</v>
      </c>
      <c r="L272" s="24" t="n">
        <v>0</v>
      </c>
      <c r="M272" s="24" t="n">
        <v>628</v>
      </c>
      <c r="N272" s="24" t="n">
        <v>628</v>
      </c>
      <c r="O272" s="24" t="n">
        <v>0</v>
      </c>
      <c r="P272" s="24" t="n">
        <v>0</v>
      </c>
      <c r="Q272" s="24" t="n">
        <v>0</v>
      </c>
      <c r="R272" s="24" t="n">
        <v>0</v>
      </c>
      <c r="S272" s="24" t="n">
        <v>0</v>
      </c>
      <c r="T272" s="24" t="n">
        <v>751</v>
      </c>
      <c r="U272" s="24" t="n">
        <v>751</v>
      </c>
      <c r="V272" s="24" t="n">
        <v>1995</v>
      </c>
      <c r="W272" s="24" t="n">
        <f aca="false">N272+U272</f>
        <v>1379</v>
      </c>
      <c r="X272" s="32" t="n">
        <f aca="false">IF(V272&gt;0,W272/V272,0)</f>
        <v>0.691228070175439</v>
      </c>
      <c r="Y272" s="9"/>
    </row>
    <row r="273" customFormat="false" ht="15" hidden="false" customHeight="false" outlineLevel="0" collapsed="false">
      <c r="A273" s="25" t="n">
        <v>2024</v>
      </c>
      <c r="B273" s="9" t="s">
        <v>277</v>
      </c>
      <c r="C273" s="9" t="s">
        <v>202</v>
      </c>
      <c r="D273" s="9" t="str">
        <f aca="false">INDEX(Lookups!$C$5:$C$75,MATCH($C273,Lookups!$A$5:$A$75,0))</f>
        <v>Other regions</v>
      </c>
      <c r="E273" s="9" t="str">
        <f aca="false">INDEX(Lookups!$D$5:$D$75,MATCH($C273,Lookups!$A$5:$A$75,0))</f>
        <v>Rest of world</v>
      </c>
      <c r="F273" s="9" t="str">
        <f aca="false">IF($D273="Latin America &amp; Caribbean","Yes","No")</f>
        <v>No</v>
      </c>
      <c r="G273" s="9" t="str">
        <f aca="false">IF($C273="VEN","In-country record","Abroad")</f>
        <v>Abroad</v>
      </c>
      <c r="H273" s="24" t="n">
        <v>0</v>
      </c>
      <c r="I273" s="24" t="n">
        <v>0</v>
      </c>
      <c r="J273" s="24" t="n">
        <v>0</v>
      </c>
      <c r="K273" s="24" t="n">
        <v>10</v>
      </c>
      <c r="L273" s="24" t="n">
        <v>0</v>
      </c>
      <c r="M273" s="24" t="n">
        <v>0</v>
      </c>
      <c r="N273" s="24" t="n">
        <v>10</v>
      </c>
      <c r="O273" s="24" t="n">
        <v>0</v>
      </c>
      <c r="P273" s="24" t="n">
        <v>0</v>
      </c>
      <c r="Q273" s="24" t="n">
        <v>0</v>
      </c>
      <c r="R273" s="24" t="n">
        <v>0</v>
      </c>
      <c r="S273" s="24" t="n">
        <v>0</v>
      </c>
      <c r="T273" s="24" t="n">
        <v>0</v>
      </c>
      <c r="U273" s="24" t="n">
        <v>0</v>
      </c>
      <c r="V273" s="24" t="n">
        <v>10</v>
      </c>
      <c r="W273" s="24" t="n">
        <f aca="false">N273+U273</f>
        <v>10</v>
      </c>
      <c r="X273" s="32" t="n">
        <f aca="false">IF(V273&gt;0,W273/V273,0)</f>
        <v>1</v>
      </c>
      <c r="Y273" s="9"/>
    </row>
    <row r="274" customFormat="false" ht="15" hidden="false" customHeight="false" outlineLevel="0" collapsed="false">
      <c r="A274" s="25" t="n">
        <v>2024</v>
      </c>
      <c r="B274" s="9" t="s">
        <v>279</v>
      </c>
      <c r="C274" s="9" t="s">
        <v>190</v>
      </c>
      <c r="D274" s="9" t="str">
        <f aca="false">INDEX(Lookups!$C$5:$C$75,MATCH($C274,Lookups!$A$5:$A$75,0))</f>
        <v>Europe</v>
      </c>
      <c r="E274" s="9" t="str">
        <f aca="false">INDEX(Lookups!$D$5:$D$75,MATCH($C274,Lookups!$A$5:$A$75,0))</f>
        <v>Europe</v>
      </c>
      <c r="F274" s="9" t="str">
        <f aca="false">IF($D274="Latin America &amp; Caribbean","Yes","No")</f>
        <v>No</v>
      </c>
      <c r="G274" s="9" t="str">
        <f aca="false">IF($C274="VEN","In-country record","Abroad")</f>
        <v>Abroad</v>
      </c>
      <c r="H274" s="24" t="n">
        <v>0</v>
      </c>
      <c r="I274" s="24" t="n">
        <v>8</v>
      </c>
      <c r="J274" s="24" t="n">
        <v>0</v>
      </c>
      <c r="K274" s="24" t="n">
        <v>69</v>
      </c>
      <c r="L274" s="24" t="n">
        <v>18</v>
      </c>
      <c r="M274" s="24" t="n">
        <v>0</v>
      </c>
      <c r="N274" s="24" t="n">
        <v>95</v>
      </c>
      <c r="O274" s="24" t="n">
        <v>0</v>
      </c>
      <c r="P274" s="24" t="n">
        <v>10</v>
      </c>
      <c r="Q274" s="24" t="n">
        <v>0</v>
      </c>
      <c r="R274" s="24" t="n">
        <v>85</v>
      </c>
      <c r="S274" s="24" t="n">
        <v>5</v>
      </c>
      <c r="T274" s="24" t="n">
        <v>0</v>
      </c>
      <c r="U274" s="24" t="n">
        <v>100</v>
      </c>
      <c r="V274" s="24" t="n">
        <v>195</v>
      </c>
      <c r="W274" s="24" t="n">
        <f aca="false">N274+U274</f>
        <v>195</v>
      </c>
      <c r="X274" s="32" t="n">
        <f aca="false">IF(V274&gt;0,W274/V274,0)</f>
        <v>1</v>
      </c>
      <c r="Y274" s="9"/>
    </row>
    <row r="275" customFormat="false" ht="15" hidden="false" customHeight="false" outlineLevel="0" collapsed="false">
      <c r="A275" s="25" t="n">
        <v>2024</v>
      </c>
      <c r="B275" s="9" t="s">
        <v>281</v>
      </c>
      <c r="C275" s="9" t="s">
        <v>174</v>
      </c>
      <c r="D275" s="9" t="str">
        <f aca="false">INDEX(Lookups!$C$5:$C$75,MATCH($C275,Lookups!$A$5:$A$75,0))</f>
        <v>Europe</v>
      </c>
      <c r="E275" s="9" t="str">
        <f aca="false">INDEX(Lookups!$D$5:$D$75,MATCH($C275,Lookups!$A$5:$A$75,0))</f>
        <v>Europe</v>
      </c>
      <c r="F275" s="9" t="str">
        <f aca="false">IF($D275="Latin America &amp; Caribbean","Yes","No")</f>
        <v>No</v>
      </c>
      <c r="G275" s="9" t="str">
        <f aca="false">IF($C275="VEN","In-country record","Abroad")</f>
        <v>Abroad</v>
      </c>
      <c r="H275" s="24" t="n">
        <v>220</v>
      </c>
      <c r="I275" s="24" t="n">
        <v>200</v>
      </c>
      <c r="J275" s="24" t="n">
        <v>160</v>
      </c>
      <c r="K275" s="24" t="n">
        <v>2261</v>
      </c>
      <c r="L275" s="24" t="n">
        <v>111</v>
      </c>
      <c r="M275" s="24" t="n">
        <v>0</v>
      </c>
      <c r="N275" s="24" t="n">
        <v>2952</v>
      </c>
      <c r="O275" s="24" t="n">
        <v>208</v>
      </c>
      <c r="P275" s="24" t="n">
        <v>224</v>
      </c>
      <c r="Q275" s="24" t="n">
        <v>248</v>
      </c>
      <c r="R275" s="24" t="n">
        <v>3999</v>
      </c>
      <c r="S275" s="24" t="n">
        <v>51</v>
      </c>
      <c r="T275" s="24" t="n">
        <v>0</v>
      </c>
      <c r="U275" s="24" t="n">
        <v>4730</v>
      </c>
      <c r="V275" s="24" t="n">
        <v>7682</v>
      </c>
      <c r="W275" s="24" t="n">
        <f aca="false">N275+U275</f>
        <v>7682</v>
      </c>
      <c r="X275" s="32" t="n">
        <f aca="false">IF(V275&gt;0,W275/V275,0)</f>
        <v>1</v>
      </c>
      <c r="Y275" s="9"/>
    </row>
    <row r="276" customFormat="false" ht="15" hidden="false" customHeight="false" outlineLevel="0" collapsed="false">
      <c r="A276" s="25" t="n">
        <v>2024</v>
      </c>
      <c r="B276" s="9" t="s">
        <v>285</v>
      </c>
      <c r="C276" s="9" t="s">
        <v>186</v>
      </c>
      <c r="D276" s="9" t="str">
        <f aca="false">INDEX(Lookups!$C$5:$C$75,MATCH($C276,Lookups!$A$5:$A$75,0))</f>
        <v>Europe</v>
      </c>
      <c r="E276" s="9" t="str">
        <f aca="false">INDEX(Lookups!$D$5:$D$75,MATCH($C276,Lookups!$A$5:$A$75,0))</f>
        <v>Europe</v>
      </c>
      <c r="F276" s="9" t="str">
        <f aca="false">IF($D276="Latin America &amp; Caribbean","Yes","No")</f>
        <v>No</v>
      </c>
      <c r="G276" s="9" t="str">
        <f aca="false">IF($C276="VEN","In-country record","Abroad")</f>
        <v>Abroad</v>
      </c>
      <c r="H276" s="24" t="n">
        <v>0</v>
      </c>
      <c r="I276" s="24" t="n">
        <v>0</v>
      </c>
      <c r="J276" s="24" t="n">
        <v>0</v>
      </c>
      <c r="K276" s="24" t="n">
        <v>0</v>
      </c>
      <c r="L276" s="24" t="n">
        <v>0</v>
      </c>
      <c r="M276" s="24" t="n">
        <v>0</v>
      </c>
      <c r="N276" s="24" t="n">
        <v>0</v>
      </c>
      <c r="O276" s="24" t="n">
        <v>0</v>
      </c>
      <c r="P276" s="24" t="n">
        <v>0</v>
      </c>
      <c r="Q276" s="24" t="n">
        <v>0</v>
      </c>
      <c r="R276" s="24" t="n">
        <v>5</v>
      </c>
      <c r="S276" s="24" t="n">
        <v>0</v>
      </c>
      <c r="T276" s="24" t="n">
        <v>0</v>
      </c>
      <c r="U276" s="24" t="n">
        <v>5</v>
      </c>
      <c r="V276" s="24" t="n">
        <v>335</v>
      </c>
      <c r="W276" s="24" t="n">
        <f aca="false">N276+U276</f>
        <v>5</v>
      </c>
      <c r="X276" s="32" t="n">
        <f aca="false">IF(V276&gt;0,W276/V276,0)</f>
        <v>0.0149253731343284</v>
      </c>
      <c r="Y276" s="9"/>
    </row>
    <row r="277" customFormat="false" ht="15" hidden="false" customHeight="false" outlineLevel="0" collapsed="false">
      <c r="A277" s="25" t="n">
        <v>2024</v>
      </c>
      <c r="B277" s="9" t="s">
        <v>286</v>
      </c>
      <c r="C277" s="9" t="s">
        <v>194</v>
      </c>
      <c r="D277" s="9" t="str">
        <f aca="false">INDEX(Lookups!$C$5:$C$75,MATCH($C277,Lookups!$A$5:$A$75,0))</f>
        <v>Europe</v>
      </c>
      <c r="E277" s="9" t="str">
        <f aca="false">INDEX(Lookups!$D$5:$D$75,MATCH($C277,Lookups!$A$5:$A$75,0))</f>
        <v>Europe</v>
      </c>
      <c r="F277" s="9" t="str">
        <f aca="false">IF($D277="Latin America &amp; Caribbean","Yes","No")</f>
        <v>No</v>
      </c>
      <c r="G277" s="9" t="str">
        <f aca="false">IF($C277="VEN","In-country record","Abroad")</f>
        <v>Abroad</v>
      </c>
      <c r="H277" s="24" t="n">
        <v>0</v>
      </c>
      <c r="I277" s="24" t="n">
        <v>0</v>
      </c>
      <c r="J277" s="24" t="n">
        <v>0</v>
      </c>
      <c r="K277" s="24" t="n">
        <v>0</v>
      </c>
      <c r="L277" s="24" t="n">
        <v>0</v>
      </c>
      <c r="M277" s="24" t="n">
        <v>0</v>
      </c>
      <c r="N277" s="24" t="n">
        <v>0</v>
      </c>
      <c r="O277" s="24" t="n">
        <v>0</v>
      </c>
      <c r="P277" s="24" t="n">
        <v>0</v>
      </c>
      <c r="Q277" s="24" t="n">
        <v>0</v>
      </c>
      <c r="R277" s="24" t="n">
        <v>0</v>
      </c>
      <c r="S277" s="24" t="n">
        <v>0</v>
      </c>
      <c r="T277" s="24" t="n">
        <v>0</v>
      </c>
      <c r="U277" s="24" t="n">
        <v>0</v>
      </c>
      <c r="V277" s="24" t="n">
        <v>72</v>
      </c>
      <c r="W277" s="24" t="n">
        <f aca="false">N277+U277</f>
        <v>0</v>
      </c>
      <c r="X277" s="32" t="n">
        <f aca="false">IF(V277&gt;0,W277/V277,0)</f>
        <v>0</v>
      </c>
      <c r="Y277" s="9"/>
    </row>
    <row r="278" customFormat="false" ht="15" hidden="false" customHeight="false" outlineLevel="0" collapsed="false">
      <c r="A278" s="25" t="n">
        <v>2024</v>
      </c>
      <c r="B278" s="9" t="s">
        <v>287</v>
      </c>
      <c r="C278" s="9" t="s">
        <v>163</v>
      </c>
      <c r="D278" s="9" t="str">
        <f aca="false">INDEX(Lookups!$C$5:$C$75,MATCH($C278,Lookups!$A$5:$A$75,0))</f>
        <v>Latin America &amp; Caribbean</v>
      </c>
      <c r="E278" s="9" t="str">
        <f aca="false">INDEX(Lookups!$D$5:$D$75,MATCH($C278,Lookups!$A$5:$A$75,0))</f>
        <v>Central America &amp; Mexico</v>
      </c>
      <c r="F278" s="9" t="str">
        <f aca="false">IF($D278="Latin America &amp; Caribbean","Yes","No")</f>
        <v>Yes</v>
      </c>
      <c r="G278" s="9" t="str">
        <f aca="false">IF($C278="VEN","In-country record","Abroad")</f>
        <v>Abroad</v>
      </c>
      <c r="H278" s="24" t="n">
        <v>544</v>
      </c>
      <c r="I278" s="24" t="n">
        <v>1818</v>
      </c>
      <c r="J278" s="24" t="n">
        <v>1291</v>
      </c>
      <c r="K278" s="24" t="n">
        <v>14208</v>
      </c>
      <c r="L278" s="24" t="n">
        <v>1224</v>
      </c>
      <c r="M278" s="24" t="n">
        <v>0</v>
      </c>
      <c r="N278" s="24" t="n">
        <v>19085</v>
      </c>
      <c r="O278" s="24" t="n">
        <v>582</v>
      </c>
      <c r="P278" s="24" t="n">
        <v>1913</v>
      </c>
      <c r="Q278" s="24" t="n">
        <v>1405</v>
      </c>
      <c r="R278" s="24" t="n">
        <v>17987</v>
      </c>
      <c r="S278" s="24" t="n">
        <v>696</v>
      </c>
      <c r="T278" s="24" t="n">
        <v>0</v>
      </c>
      <c r="U278" s="24" t="n">
        <v>22583</v>
      </c>
      <c r="V278" s="24" t="n">
        <v>134126</v>
      </c>
      <c r="W278" s="24" t="n">
        <f aca="false">N278+U278</f>
        <v>41668</v>
      </c>
      <c r="X278" s="32" t="n">
        <f aca="false">IF(V278&gt;0,W278/V278,0)</f>
        <v>0.310663107823986</v>
      </c>
      <c r="Y278" s="9"/>
    </row>
    <row r="279" customFormat="false" ht="15" hidden="false" customHeight="false" outlineLevel="0" collapsed="false">
      <c r="A279" s="25" t="n">
        <v>2024</v>
      </c>
      <c r="B279" s="9" t="s">
        <v>289</v>
      </c>
      <c r="C279" s="9" t="s">
        <v>182</v>
      </c>
      <c r="D279" s="9" t="str">
        <f aca="false">INDEX(Lookups!$C$5:$C$75,MATCH($C279,Lookups!$A$5:$A$75,0))</f>
        <v>Europe</v>
      </c>
      <c r="E279" s="9" t="str">
        <f aca="false">INDEX(Lookups!$D$5:$D$75,MATCH($C279,Lookups!$A$5:$A$75,0))</f>
        <v>Europe</v>
      </c>
      <c r="F279" s="9" t="str">
        <f aca="false">IF($D279="Latin America &amp; Caribbean","Yes","No")</f>
        <v>No</v>
      </c>
      <c r="G279" s="9" t="str">
        <f aca="false">IF($C279="VEN","In-country record","Abroad")</f>
        <v>Abroad</v>
      </c>
      <c r="H279" s="24" t="n">
        <v>15</v>
      </c>
      <c r="I279" s="24" t="n">
        <v>22</v>
      </c>
      <c r="J279" s="24" t="n">
        <v>24</v>
      </c>
      <c r="K279" s="24" t="n">
        <v>167</v>
      </c>
      <c r="L279" s="24" t="n">
        <v>15</v>
      </c>
      <c r="M279" s="24" t="n">
        <v>0</v>
      </c>
      <c r="N279" s="24" t="n">
        <v>243</v>
      </c>
      <c r="O279" s="24" t="n">
        <v>18</v>
      </c>
      <c r="P279" s="24" t="n">
        <v>25</v>
      </c>
      <c r="Q279" s="24" t="n">
        <v>44</v>
      </c>
      <c r="R279" s="24" t="n">
        <v>339</v>
      </c>
      <c r="S279" s="24" t="n">
        <v>12</v>
      </c>
      <c r="T279" s="24" t="n">
        <v>0</v>
      </c>
      <c r="U279" s="24" t="n">
        <v>438</v>
      </c>
      <c r="V279" s="24" t="n">
        <v>681</v>
      </c>
      <c r="W279" s="24" t="n">
        <f aca="false">N279+U279</f>
        <v>681</v>
      </c>
      <c r="X279" s="32" t="n">
        <f aca="false">IF(V279&gt;0,W279/V279,0)</f>
        <v>1</v>
      </c>
      <c r="Y279" s="9"/>
    </row>
    <row r="280" customFormat="false" ht="15" hidden="false" customHeight="false" outlineLevel="0" collapsed="false">
      <c r="A280" s="25" t="n">
        <v>2024</v>
      </c>
      <c r="B280" s="9" t="s">
        <v>316</v>
      </c>
      <c r="C280" s="9" t="s">
        <v>205</v>
      </c>
      <c r="D280" s="9" t="str">
        <f aca="false">INDEX(Lookups!$C$5:$C$75,MATCH($C280,Lookups!$A$5:$A$75,0))</f>
        <v>Other regions</v>
      </c>
      <c r="E280" s="9" t="str">
        <f aca="false">INDEX(Lookups!$D$5:$D$75,MATCH($C280,Lookups!$A$5:$A$75,0))</f>
        <v>Rest of world</v>
      </c>
      <c r="F280" s="9" t="str">
        <f aca="false">IF($D280="Latin America &amp; Caribbean","Yes","No")</f>
        <v>No</v>
      </c>
      <c r="G280" s="9" t="str">
        <f aca="false">IF($C280="VEN","In-country record","Abroad")</f>
        <v>Abroad</v>
      </c>
      <c r="H280" s="24" t="n">
        <v>0</v>
      </c>
      <c r="I280" s="24" t="n">
        <v>0</v>
      </c>
      <c r="J280" s="24" t="n">
        <v>0</v>
      </c>
      <c r="K280" s="24" t="n">
        <v>0</v>
      </c>
      <c r="L280" s="24" t="n">
        <v>0</v>
      </c>
      <c r="M280" s="24" t="n">
        <v>0</v>
      </c>
      <c r="N280" s="24" t="n">
        <v>0</v>
      </c>
      <c r="O280" s="24" t="n">
        <v>0</v>
      </c>
      <c r="P280" s="24" t="n">
        <v>0</v>
      </c>
      <c r="Q280" s="24" t="n">
        <v>0</v>
      </c>
      <c r="R280" s="24" t="n">
        <v>0</v>
      </c>
      <c r="S280" s="24" t="n">
        <v>0</v>
      </c>
      <c r="T280" s="24" t="n">
        <v>0</v>
      </c>
      <c r="U280" s="24" t="n">
        <v>0</v>
      </c>
      <c r="V280" s="24" t="n">
        <v>10</v>
      </c>
      <c r="W280" s="24" t="n">
        <f aca="false">N280+U280</f>
        <v>0</v>
      </c>
      <c r="X280" s="32" t="n">
        <f aca="false">IF(V280&gt;0,W280/V280,0)</f>
        <v>0</v>
      </c>
      <c r="Y280" s="9"/>
    </row>
    <row r="281" customFormat="false" ht="15" hidden="false" customHeight="false" outlineLevel="0" collapsed="false">
      <c r="A281" s="25" t="n">
        <v>2024</v>
      </c>
      <c r="B281" s="9" t="s">
        <v>290</v>
      </c>
      <c r="C281" s="9" t="s">
        <v>189</v>
      </c>
      <c r="D281" s="9" t="str">
        <f aca="false">INDEX(Lookups!$C$5:$C$75,MATCH($C281,Lookups!$A$5:$A$75,0))</f>
        <v>Europe</v>
      </c>
      <c r="E281" s="9" t="str">
        <f aca="false">INDEX(Lookups!$D$5:$D$75,MATCH($C281,Lookups!$A$5:$A$75,0))</f>
        <v>Europe</v>
      </c>
      <c r="F281" s="9" t="str">
        <f aca="false">IF($D281="Latin America &amp; Caribbean","Yes","No")</f>
        <v>No</v>
      </c>
      <c r="G281" s="9" t="str">
        <f aca="false">IF($C281="VEN","In-country record","Abroad")</f>
        <v>Abroad</v>
      </c>
      <c r="H281" s="24" t="n">
        <v>5</v>
      </c>
      <c r="I281" s="24" t="n">
        <v>9</v>
      </c>
      <c r="J281" s="24" t="n">
        <v>13</v>
      </c>
      <c r="K281" s="24" t="n">
        <v>79</v>
      </c>
      <c r="L281" s="24" t="n">
        <v>0</v>
      </c>
      <c r="M281" s="24" t="n">
        <v>0</v>
      </c>
      <c r="N281" s="24" t="n">
        <v>106</v>
      </c>
      <c r="O281" s="24" t="n">
        <v>5</v>
      </c>
      <c r="P281" s="24" t="n">
        <v>6</v>
      </c>
      <c r="Q281" s="24" t="n">
        <v>13</v>
      </c>
      <c r="R281" s="24" t="n">
        <v>107</v>
      </c>
      <c r="S281" s="24" t="n">
        <v>0</v>
      </c>
      <c r="T281" s="24" t="n">
        <v>0</v>
      </c>
      <c r="U281" s="24" t="n">
        <v>131</v>
      </c>
      <c r="V281" s="24" t="n">
        <v>237</v>
      </c>
      <c r="W281" s="24" t="n">
        <f aca="false">N281+U281</f>
        <v>237</v>
      </c>
      <c r="X281" s="32" t="n">
        <f aca="false">IF(V281&gt;0,W281/V281,0)</f>
        <v>1</v>
      </c>
      <c r="Y281" s="9"/>
    </row>
    <row r="282" customFormat="false" ht="15" hidden="false" customHeight="false" outlineLevel="0" collapsed="false">
      <c r="A282" s="25" t="n">
        <v>2024</v>
      </c>
      <c r="B282" s="9" t="s">
        <v>291</v>
      </c>
      <c r="C282" s="9" t="s">
        <v>165</v>
      </c>
      <c r="D282" s="9" t="str">
        <f aca="false">INDEX(Lookups!$C$5:$C$75,MATCH($C282,Lookups!$A$5:$A$75,0))</f>
        <v>Latin America &amp; Caribbean</v>
      </c>
      <c r="E282" s="9" t="str">
        <f aca="false">INDEX(Lookups!$D$5:$D$75,MATCH($C282,Lookups!$A$5:$A$75,0))</f>
        <v>Central America &amp; Mexico</v>
      </c>
      <c r="F282" s="9" t="str">
        <f aca="false">IF($D282="Latin America &amp; Caribbean","Yes","No")</f>
        <v>Yes</v>
      </c>
      <c r="G282" s="9" t="str">
        <f aca="false">IF($C282="VEN","In-country record","Abroad")</f>
        <v>Abroad</v>
      </c>
      <c r="H282" s="24" t="n">
        <v>109</v>
      </c>
      <c r="I282" s="24" t="n">
        <v>2037</v>
      </c>
      <c r="J282" s="24" t="n">
        <v>2167</v>
      </c>
      <c r="K282" s="24" t="n">
        <v>23134</v>
      </c>
      <c r="L282" s="24" t="n">
        <v>2687</v>
      </c>
      <c r="M282" s="24" t="n">
        <v>0</v>
      </c>
      <c r="N282" s="24" t="n">
        <v>30134</v>
      </c>
      <c r="O282" s="24" t="n">
        <v>137</v>
      </c>
      <c r="P282" s="24" t="n">
        <v>2105</v>
      </c>
      <c r="Q282" s="24" t="n">
        <v>2252</v>
      </c>
      <c r="R282" s="24" t="n">
        <v>20551</v>
      </c>
      <c r="S282" s="24" t="n">
        <v>1553</v>
      </c>
      <c r="T282" s="24" t="n">
        <v>0</v>
      </c>
      <c r="U282" s="24" t="n">
        <v>26598</v>
      </c>
      <c r="V282" s="24" t="n">
        <v>57979</v>
      </c>
      <c r="W282" s="24" t="n">
        <f aca="false">N282+U282</f>
        <v>56732</v>
      </c>
      <c r="X282" s="32" t="n">
        <f aca="false">IF(V282&gt;0,W282/V282,0)</f>
        <v>0.978492212697701</v>
      </c>
      <c r="Y282" s="9"/>
    </row>
    <row r="283" customFormat="false" ht="15" hidden="false" customHeight="false" outlineLevel="0" collapsed="false">
      <c r="A283" s="25" t="n">
        <v>2024</v>
      </c>
      <c r="B283" s="9" t="s">
        <v>292</v>
      </c>
      <c r="C283" s="9" t="s">
        <v>178</v>
      </c>
      <c r="D283" s="9" t="str">
        <f aca="false">INDEX(Lookups!$C$5:$C$75,MATCH($C283,Lookups!$A$5:$A$75,0))</f>
        <v>Latin America &amp; Caribbean</v>
      </c>
      <c r="E283" s="9" t="str">
        <f aca="false">INDEX(Lookups!$D$5:$D$75,MATCH($C283,Lookups!$A$5:$A$75,0))</f>
        <v>Southern Cone &amp; Brazil</v>
      </c>
      <c r="F283" s="9" t="str">
        <f aca="false">IF($D283="Latin America &amp; Caribbean","Yes","No")</f>
        <v>Yes</v>
      </c>
      <c r="G283" s="9" t="str">
        <f aca="false">IF($C283="VEN","In-country record","Abroad")</f>
        <v>Abroad</v>
      </c>
      <c r="H283" s="24" t="n">
        <v>68</v>
      </c>
      <c r="I283" s="24" t="n">
        <v>295</v>
      </c>
      <c r="J283" s="24" t="n">
        <v>214</v>
      </c>
      <c r="K283" s="24" t="n">
        <v>1863</v>
      </c>
      <c r="L283" s="24" t="n">
        <v>39</v>
      </c>
      <c r="M283" s="24" t="n">
        <v>5</v>
      </c>
      <c r="N283" s="24" t="n">
        <v>2484</v>
      </c>
      <c r="O283" s="24" t="n">
        <v>70</v>
      </c>
      <c r="P283" s="24" t="n">
        <v>298</v>
      </c>
      <c r="Q283" s="24" t="n">
        <v>245</v>
      </c>
      <c r="R283" s="24" t="n">
        <v>2463</v>
      </c>
      <c r="S283" s="24" t="n">
        <v>13</v>
      </c>
      <c r="T283" s="24" t="n">
        <v>0</v>
      </c>
      <c r="U283" s="24" t="n">
        <v>3089</v>
      </c>
      <c r="V283" s="24" t="n">
        <v>5580</v>
      </c>
      <c r="W283" s="24" t="n">
        <f aca="false">N283+U283</f>
        <v>5573</v>
      </c>
      <c r="X283" s="32" t="n">
        <f aca="false">IF(V283&gt;0,W283/V283,0)</f>
        <v>0.998745519713262</v>
      </c>
      <c r="Y283" s="9"/>
    </row>
    <row r="284" customFormat="false" ht="15" hidden="false" customHeight="false" outlineLevel="0" collapsed="false">
      <c r="A284" s="25" t="n">
        <v>2024</v>
      </c>
      <c r="B284" s="9" t="s">
        <v>293</v>
      </c>
      <c r="C284" s="9" t="s">
        <v>156</v>
      </c>
      <c r="D284" s="9" t="str">
        <f aca="false">INDEX(Lookups!$C$5:$C$75,MATCH($C284,Lookups!$A$5:$A$75,0))</f>
        <v>Latin America &amp; Caribbean</v>
      </c>
      <c r="E284" s="9" t="str">
        <f aca="false">INDEX(Lookups!$D$5:$D$75,MATCH($C284,Lookups!$A$5:$A$75,0))</f>
        <v>Andean region</v>
      </c>
      <c r="F284" s="9" t="str">
        <f aca="false">IF($D284="Latin America &amp; Caribbean","Yes","No")</f>
        <v>Yes</v>
      </c>
      <c r="G284" s="9" t="str">
        <f aca="false">IF($C284="VEN","In-country record","Abroad")</f>
        <v>Abroad</v>
      </c>
      <c r="H284" s="24" t="n">
        <v>61234</v>
      </c>
      <c r="I284" s="24" t="n">
        <v>70406</v>
      </c>
      <c r="J284" s="24" t="n">
        <v>42664</v>
      </c>
      <c r="K284" s="24" t="n">
        <v>380331</v>
      </c>
      <c r="L284" s="24" t="n">
        <v>19424</v>
      </c>
      <c r="M284" s="24" t="n">
        <v>0</v>
      </c>
      <c r="N284" s="24" t="n">
        <v>574059</v>
      </c>
      <c r="O284" s="24" t="n">
        <v>66001</v>
      </c>
      <c r="P284" s="24" t="n">
        <v>78021</v>
      </c>
      <c r="Q284" s="24" t="n">
        <v>43557</v>
      </c>
      <c r="R284" s="24" t="n">
        <v>364132</v>
      </c>
      <c r="S284" s="24" t="n">
        <v>9445</v>
      </c>
      <c r="T284" s="24" t="n">
        <v>0</v>
      </c>
      <c r="U284" s="24" t="n">
        <v>561156</v>
      </c>
      <c r="V284" s="24" t="n">
        <v>1662889</v>
      </c>
      <c r="W284" s="24" t="n">
        <f aca="false">N284+U284</f>
        <v>1135215</v>
      </c>
      <c r="X284" s="32" t="n">
        <f aca="false">IF(V284&gt;0,W284/V284,0)</f>
        <v>0.682676354224485</v>
      </c>
      <c r="Y284" s="9"/>
    </row>
    <row r="285" customFormat="false" ht="15" hidden="false" customHeight="false" outlineLevel="0" collapsed="false">
      <c r="A285" s="25" t="n">
        <v>2024</v>
      </c>
      <c r="B285" s="9" t="s">
        <v>294</v>
      </c>
      <c r="C285" s="9" t="s">
        <v>196</v>
      </c>
      <c r="D285" s="9" t="str">
        <f aca="false">INDEX(Lookups!$C$5:$C$75,MATCH($C285,Lookups!$A$5:$A$75,0))</f>
        <v>Europe</v>
      </c>
      <c r="E285" s="9" t="str">
        <f aca="false">INDEX(Lookups!$D$5:$D$75,MATCH($C285,Lookups!$A$5:$A$75,0))</f>
        <v>Europe</v>
      </c>
      <c r="F285" s="9" t="str">
        <f aca="false">IF($D285="Latin America &amp; Caribbean","Yes","No")</f>
        <v>No</v>
      </c>
      <c r="G285" s="9" t="str">
        <f aca="false">IF($C285="VEN","In-country record","Abroad")</f>
        <v>Abroad</v>
      </c>
      <c r="H285" s="24" t="n">
        <v>0</v>
      </c>
      <c r="I285" s="24" t="n">
        <v>0</v>
      </c>
      <c r="J285" s="24" t="n">
        <v>0</v>
      </c>
      <c r="K285" s="24" t="n">
        <v>0</v>
      </c>
      <c r="L285" s="24" t="n">
        <v>0</v>
      </c>
      <c r="M285" s="24" t="n">
        <v>0</v>
      </c>
      <c r="N285" s="24" t="n">
        <v>0</v>
      </c>
      <c r="O285" s="24" t="n">
        <v>0</v>
      </c>
      <c r="P285" s="24" t="n">
        <v>0</v>
      </c>
      <c r="Q285" s="24" t="n">
        <v>0</v>
      </c>
      <c r="R285" s="24" t="n">
        <v>0</v>
      </c>
      <c r="S285" s="24" t="n">
        <v>0</v>
      </c>
      <c r="T285" s="24" t="n">
        <v>0</v>
      </c>
      <c r="U285" s="24" t="n">
        <v>0</v>
      </c>
      <c r="V285" s="24" t="n">
        <v>31</v>
      </c>
      <c r="W285" s="24" t="n">
        <f aca="false">N285+U285</f>
        <v>0</v>
      </c>
      <c r="X285" s="32" t="n">
        <f aca="false">IF(V285&gt;0,W285/V285,0)</f>
        <v>0</v>
      </c>
      <c r="Y285" s="9"/>
    </row>
    <row r="286" customFormat="false" ht="15" hidden="false" customHeight="false" outlineLevel="0" collapsed="false">
      <c r="A286" s="25" t="n">
        <v>2024</v>
      </c>
      <c r="B286" s="9" t="s">
        <v>295</v>
      </c>
      <c r="C286" s="9" t="s">
        <v>185</v>
      </c>
      <c r="D286" s="9" t="str">
        <f aca="false">INDEX(Lookups!$C$5:$C$75,MATCH($C286,Lookups!$A$5:$A$75,0))</f>
        <v>Europe</v>
      </c>
      <c r="E286" s="9" t="str">
        <f aca="false">INDEX(Lookups!$D$5:$D$75,MATCH($C286,Lookups!$A$5:$A$75,0))</f>
        <v>Europe</v>
      </c>
      <c r="F286" s="9" t="str">
        <f aca="false">IF($D286="Latin America &amp; Caribbean","Yes","No")</f>
        <v>No</v>
      </c>
      <c r="G286" s="9" t="str">
        <f aca="false">IF($C286="VEN","In-country record","Abroad")</f>
        <v>Abroad</v>
      </c>
      <c r="H286" s="24" t="n">
        <v>12</v>
      </c>
      <c r="I286" s="24" t="n">
        <v>11</v>
      </c>
      <c r="J286" s="24" t="n">
        <v>6</v>
      </c>
      <c r="K286" s="24" t="n">
        <v>58</v>
      </c>
      <c r="L286" s="24" t="n">
        <v>0</v>
      </c>
      <c r="M286" s="24" t="n">
        <v>0</v>
      </c>
      <c r="N286" s="24" t="n">
        <v>87</v>
      </c>
      <c r="O286" s="24" t="n">
        <v>0</v>
      </c>
      <c r="P286" s="24" t="n">
        <v>0</v>
      </c>
      <c r="Q286" s="24" t="n">
        <v>0</v>
      </c>
      <c r="R286" s="24" t="n">
        <v>23</v>
      </c>
      <c r="S286" s="24" t="n">
        <v>6</v>
      </c>
      <c r="T286" s="24" t="n">
        <v>0</v>
      </c>
      <c r="U286" s="24" t="n">
        <v>29</v>
      </c>
      <c r="V286" s="24" t="n">
        <v>121</v>
      </c>
      <c r="W286" s="24" t="n">
        <f aca="false">N286+U286</f>
        <v>116</v>
      </c>
      <c r="X286" s="32" t="n">
        <f aca="false">IF(V286&gt;0,W286/V286,0)</f>
        <v>0.958677685950413</v>
      </c>
      <c r="Y286" s="9"/>
    </row>
    <row r="287" customFormat="false" ht="15" hidden="false" customHeight="false" outlineLevel="0" collapsed="false">
      <c r="A287" s="25" t="n">
        <v>2024</v>
      </c>
      <c r="B287" s="9" t="s">
        <v>298</v>
      </c>
      <c r="C287" s="9" t="s">
        <v>191</v>
      </c>
      <c r="D287" s="9" t="str">
        <f aca="false">INDEX(Lookups!$C$5:$C$75,MATCH($C287,Lookups!$A$5:$A$75,0))</f>
        <v>Latin America &amp; Caribbean</v>
      </c>
      <c r="E287" s="9" t="str">
        <f aca="false">INDEX(Lookups!$D$5:$D$75,MATCH($C287,Lookups!$A$5:$A$75,0))</f>
        <v>Caribbean &amp; Guianas</v>
      </c>
      <c r="F287" s="9" t="str">
        <f aca="false">IF($D287="Latin America &amp; Caribbean","Yes","No")</f>
        <v>Yes</v>
      </c>
      <c r="G287" s="9" t="str">
        <f aca="false">IF($C287="VEN","In-country record","Abroad")</f>
        <v>Abroad</v>
      </c>
      <c r="H287" s="24" t="n">
        <v>5</v>
      </c>
      <c r="I287" s="24" t="n">
        <v>0</v>
      </c>
      <c r="J287" s="24" t="n">
        <v>5</v>
      </c>
      <c r="K287" s="24" t="n">
        <v>37</v>
      </c>
      <c r="L287" s="24" t="n">
        <v>0</v>
      </c>
      <c r="M287" s="24" t="n">
        <v>0</v>
      </c>
      <c r="N287" s="24" t="n">
        <v>47</v>
      </c>
      <c r="O287" s="24" t="n">
        <v>7</v>
      </c>
      <c r="P287" s="24" t="n">
        <v>0</v>
      </c>
      <c r="Q287" s="24" t="n">
        <v>0</v>
      </c>
      <c r="R287" s="24" t="n">
        <v>77</v>
      </c>
      <c r="S287" s="24" t="n">
        <v>5</v>
      </c>
      <c r="T287" s="24" t="n">
        <v>0</v>
      </c>
      <c r="U287" s="24" t="n">
        <v>89</v>
      </c>
      <c r="V287" s="24" t="n">
        <v>136</v>
      </c>
      <c r="W287" s="24" t="n">
        <f aca="false">N287+U287</f>
        <v>136</v>
      </c>
      <c r="X287" s="32" t="n">
        <f aca="false">IF(V287&gt;0,W287/V287,0)</f>
        <v>1</v>
      </c>
      <c r="Y287" s="9"/>
    </row>
    <row r="288" customFormat="false" ht="15" hidden="false" customHeight="false" outlineLevel="0" collapsed="false">
      <c r="A288" s="25" t="n">
        <v>2024</v>
      </c>
      <c r="B288" s="9" t="s">
        <v>300</v>
      </c>
      <c r="C288" s="9" t="s">
        <v>161</v>
      </c>
      <c r="D288" s="9" t="str">
        <f aca="false">INDEX(Lookups!$C$5:$C$75,MATCH($C288,Lookups!$A$5:$A$75,0))</f>
        <v>Europe</v>
      </c>
      <c r="E288" s="9" t="str">
        <f aca="false">INDEX(Lookups!$D$5:$D$75,MATCH($C288,Lookups!$A$5:$A$75,0))</f>
        <v>Europe</v>
      </c>
      <c r="F288" s="9" t="str">
        <f aca="false">IF($D288="Latin America &amp; Caribbean","Yes","No")</f>
        <v>No</v>
      </c>
      <c r="G288" s="9" t="str">
        <f aca="false">IF($C288="VEN","In-country record","Abroad")</f>
        <v>Abroad</v>
      </c>
      <c r="H288" s="24" t="n">
        <v>2157</v>
      </c>
      <c r="I288" s="24" t="n">
        <v>2707</v>
      </c>
      <c r="J288" s="24" t="n">
        <v>2674</v>
      </c>
      <c r="K288" s="24" t="n">
        <v>33881</v>
      </c>
      <c r="L288" s="24" t="n">
        <v>2377</v>
      </c>
      <c r="M288" s="24" t="n">
        <v>0</v>
      </c>
      <c r="N288" s="24" t="n">
        <v>43796</v>
      </c>
      <c r="O288" s="24" t="n">
        <v>2249</v>
      </c>
      <c r="P288" s="24" t="n">
        <v>2722</v>
      </c>
      <c r="Q288" s="24" t="n">
        <v>2650</v>
      </c>
      <c r="R288" s="24" t="n">
        <v>32440</v>
      </c>
      <c r="S288" s="24" t="n">
        <v>1187</v>
      </c>
      <c r="T288" s="24" t="n">
        <v>0</v>
      </c>
      <c r="U288" s="24" t="n">
        <v>41248</v>
      </c>
      <c r="V288" s="24" t="n">
        <v>221390</v>
      </c>
      <c r="W288" s="24" t="n">
        <f aca="false">N288+U288</f>
        <v>85044</v>
      </c>
      <c r="X288" s="32" t="n">
        <f aca="false">IF(V288&gt;0,W288/V288,0)</f>
        <v>0.3841365915353</v>
      </c>
      <c r="Y288" s="9" t="s">
        <v>321</v>
      </c>
    </row>
    <row r="289" customFormat="false" ht="15" hidden="false" customHeight="false" outlineLevel="0" collapsed="false">
      <c r="A289" s="25" t="n">
        <v>2024</v>
      </c>
      <c r="B289" s="9" t="s">
        <v>302</v>
      </c>
      <c r="C289" s="9" t="s">
        <v>183</v>
      </c>
      <c r="D289" s="9" t="str">
        <f aca="false">INDEX(Lookups!$C$5:$C$75,MATCH($C289,Lookups!$A$5:$A$75,0))</f>
        <v>Latin America &amp; Caribbean</v>
      </c>
      <c r="E289" s="9" t="str">
        <f aca="false">INDEX(Lookups!$D$5:$D$75,MATCH($C289,Lookups!$A$5:$A$75,0))</f>
        <v>Caribbean &amp; Guianas</v>
      </c>
      <c r="F289" s="9" t="str">
        <f aca="false">IF($D289="Latin America &amp; Caribbean","Yes","No")</f>
        <v>Yes</v>
      </c>
      <c r="G289" s="9" t="str">
        <f aca="false">IF($C289="VEN","In-country record","Abroad")</f>
        <v>Abroad</v>
      </c>
      <c r="H289" s="24" t="n">
        <v>7</v>
      </c>
      <c r="I289" s="24" t="n">
        <v>17</v>
      </c>
      <c r="J289" s="24" t="n">
        <v>12</v>
      </c>
      <c r="K289" s="24" t="n">
        <v>333</v>
      </c>
      <c r="L289" s="24" t="n">
        <v>5</v>
      </c>
      <c r="M289" s="24" t="n">
        <v>0</v>
      </c>
      <c r="N289" s="24" t="n">
        <v>374</v>
      </c>
      <c r="O289" s="24" t="n">
        <v>5</v>
      </c>
      <c r="P289" s="24" t="n">
        <v>28</v>
      </c>
      <c r="Q289" s="24" t="n">
        <v>16</v>
      </c>
      <c r="R289" s="24" t="n">
        <v>66</v>
      </c>
      <c r="S289" s="24" t="n">
        <v>5</v>
      </c>
      <c r="T289" s="24" t="n">
        <v>0</v>
      </c>
      <c r="U289" s="24" t="n">
        <v>120</v>
      </c>
      <c r="V289" s="24" t="n">
        <v>494</v>
      </c>
      <c r="W289" s="24" t="n">
        <f aca="false">N289+U289</f>
        <v>494</v>
      </c>
      <c r="X289" s="32" t="n">
        <f aca="false">IF(V289&gt;0,W289/V289,0)</f>
        <v>1</v>
      </c>
      <c r="Y289" s="9"/>
    </row>
    <row r="290" customFormat="false" ht="15" hidden="false" customHeight="false" outlineLevel="0" collapsed="false">
      <c r="A290" s="25" t="n">
        <v>2024</v>
      </c>
      <c r="B290" s="9" t="s">
        <v>303</v>
      </c>
      <c r="C290" s="9" t="s">
        <v>193</v>
      </c>
      <c r="D290" s="9" t="str">
        <f aca="false">INDEX(Lookups!$C$5:$C$75,MATCH($C290,Lookups!$A$5:$A$75,0))</f>
        <v>Europe</v>
      </c>
      <c r="E290" s="9" t="str">
        <f aca="false">INDEX(Lookups!$D$5:$D$75,MATCH($C290,Lookups!$A$5:$A$75,0))</f>
        <v>Europe</v>
      </c>
      <c r="F290" s="9" t="str">
        <f aca="false">IF($D290="Latin America &amp; Caribbean","Yes","No")</f>
        <v>No</v>
      </c>
      <c r="G290" s="9" t="str">
        <f aca="false">IF($C290="VEN","In-country record","Abroad")</f>
        <v>Abroad</v>
      </c>
      <c r="H290" s="24" t="n">
        <v>0</v>
      </c>
      <c r="I290" s="24" t="n">
        <v>0</v>
      </c>
      <c r="J290" s="24" t="n">
        <v>0</v>
      </c>
      <c r="K290" s="24" t="n">
        <v>26</v>
      </c>
      <c r="L290" s="24" t="n">
        <v>5</v>
      </c>
      <c r="M290" s="24" t="n">
        <v>9</v>
      </c>
      <c r="N290" s="24" t="n">
        <v>40</v>
      </c>
      <c r="O290" s="24" t="n">
        <v>0</v>
      </c>
      <c r="P290" s="24" t="n">
        <v>0</v>
      </c>
      <c r="Q290" s="24" t="n">
        <v>0</v>
      </c>
      <c r="R290" s="24" t="n">
        <v>32</v>
      </c>
      <c r="S290" s="24" t="n">
        <v>5</v>
      </c>
      <c r="T290" s="24" t="n">
        <v>5</v>
      </c>
      <c r="U290" s="24" t="n">
        <v>42</v>
      </c>
      <c r="V290" s="24" t="n">
        <v>100</v>
      </c>
      <c r="W290" s="24" t="n">
        <f aca="false">N290+U290</f>
        <v>82</v>
      </c>
      <c r="X290" s="32" t="n">
        <f aca="false">IF(V290&gt;0,W290/V290,0)</f>
        <v>0.82</v>
      </c>
      <c r="Y290" s="9"/>
    </row>
    <row r="291" customFormat="false" ht="15" hidden="false" customHeight="false" outlineLevel="0" collapsed="false">
      <c r="A291" s="25" t="n">
        <v>2024</v>
      </c>
      <c r="B291" s="9" t="s">
        <v>304</v>
      </c>
      <c r="C291" s="9" t="s">
        <v>188</v>
      </c>
      <c r="D291" s="9" t="str">
        <f aca="false">INDEX(Lookups!$C$5:$C$75,MATCH($C291,Lookups!$A$5:$A$75,0))</f>
        <v>Europe</v>
      </c>
      <c r="E291" s="9" t="str">
        <f aca="false">INDEX(Lookups!$D$5:$D$75,MATCH($C291,Lookups!$A$5:$A$75,0))</f>
        <v>Europe</v>
      </c>
      <c r="F291" s="9" t="str">
        <f aca="false">IF($D291="Latin America &amp; Caribbean","Yes","No")</f>
        <v>No</v>
      </c>
      <c r="G291" s="9" t="str">
        <f aca="false">IF($C291="VEN","In-country record","Abroad")</f>
        <v>Abroad</v>
      </c>
      <c r="H291" s="24" t="n">
        <v>0</v>
      </c>
      <c r="I291" s="24" t="n">
        <v>16</v>
      </c>
      <c r="J291" s="24" t="n">
        <v>12</v>
      </c>
      <c r="K291" s="24" t="n">
        <v>62</v>
      </c>
      <c r="L291" s="24" t="n">
        <v>5</v>
      </c>
      <c r="M291" s="24" t="n">
        <v>23</v>
      </c>
      <c r="N291" s="24" t="n">
        <v>118</v>
      </c>
      <c r="O291" s="24" t="n">
        <v>0</v>
      </c>
      <c r="P291" s="24" t="n">
        <v>10</v>
      </c>
      <c r="Q291" s="24" t="n">
        <v>10</v>
      </c>
      <c r="R291" s="24" t="n">
        <v>73</v>
      </c>
      <c r="S291" s="24" t="n">
        <v>5</v>
      </c>
      <c r="T291" s="24" t="n">
        <v>19</v>
      </c>
      <c r="U291" s="24" t="n">
        <v>117</v>
      </c>
      <c r="V291" s="24" t="n">
        <v>235</v>
      </c>
      <c r="W291" s="24" t="n">
        <f aca="false">N291+U291</f>
        <v>235</v>
      </c>
      <c r="X291" s="32" t="n">
        <f aca="false">IF(V291&gt;0,W291/V291,0)</f>
        <v>1</v>
      </c>
      <c r="Y291" s="9"/>
    </row>
    <row r="292" customFormat="false" ht="15" hidden="false" customHeight="false" outlineLevel="0" collapsed="false">
      <c r="A292" s="25" t="n">
        <v>2024</v>
      </c>
      <c r="B292" s="9" t="s">
        <v>305</v>
      </c>
      <c r="C292" s="9" t="s">
        <v>167</v>
      </c>
      <c r="D292" s="9" t="str">
        <f aca="false">INDEX(Lookups!$C$5:$C$75,MATCH($C292,Lookups!$A$5:$A$75,0))</f>
        <v>Latin America &amp; Caribbean</v>
      </c>
      <c r="E292" s="9" t="str">
        <f aca="false">INDEX(Lookups!$D$5:$D$75,MATCH($C292,Lookups!$A$5:$A$75,0))</f>
        <v>Caribbean &amp; Guianas</v>
      </c>
      <c r="F292" s="9" t="str">
        <f aca="false">IF($D292="Latin America &amp; Caribbean","Yes","No")</f>
        <v>Yes</v>
      </c>
      <c r="G292" s="9" t="str">
        <f aca="false">IF($C292="VEN","In-country record","Abroad")</f>
        <v>Abroad</v>
      </c>
      <c r="H292" s="24" t="n">
        <v>193</v>
      </c>
      <c r="I292" s="24" t="n">
        <v>1198</v>
      </c>
      <c r="J292" s="24" t="n">
        <v>891</v>
      </c>
      <c r="K292" s="24" t="n">
        <v>8880</v>
      </c>
      <c r="L292" s="24" t="n">
        <v>178</v>
      </c>
      <c r="M292" s="24" t="n">
        <v>0</v>
      </c>
      <c r="N292" s="24" t="n">
        <v>11340</v>
      </c>
      <c r="O292" s="24" t="n">
        <v>199</v>
      </c>
      <c r="P292" s="24" t="n">
        <v>1218</v>
      </c>
      <c r="Q292" s="24" t="n">
        <v>875</v>
      </c>
      <c r="R292" s="24" t="n">
        <v>7763</v>
      </c>
      <c r="S292" s="24" t="n">
        <v>178</v>
      </c>
      <c r="T292" s="24" t="n">
        <v>0</v>
      </c>
      <c r="U292" s="24" t="n">
        <v>10233</v>
      </c>
      <c r="V292" s="24" t="n">
        <v>29495</v>
      </c>
      <c r="W292" s="24" t="n">
        <f aca="false">N292+U292</f>
        <v>21573</v>
      </c>
      <c r="X292" s="32" t="n">
        <f aca="false">IF(V292&gt;0,W292/V292,0)</f>
        <v>0.731412103746398</v>
      </c>
      <c r="Y292" s="9"/>
    </row>
    <row r="293" customFormat="false" ht="15" hidden="false" customHeight="false" outlineLevel="0" collapsed="false">
      <c r="A293" s="25" t="n">
        <v>2024</v>
      </c>
      <c r="B293" s="9" t="s">
        <v>306</v>
      </c>
      <c r="C293" s="9" t="s">
        <v>192</v>
      </c>
      <c r="D293" s="9" t="str">
        <f aca="false">INDEX(Lookups!$C$5:$C$75,MATCH($C293,Lookups!$A$5:$A$75,0))</f>
        <v>Europe</v>
      </c>
      <c r="E293" s="9" t="str">
        <f aca="false">INDEX(Lookups!$D$5:$D$75,MATCH($C293,Lookups!$A$5:$A$75,0))</f>
        <v>Europe</v>
      </c>
      <c r="F293" s="9" t="str">
        <f aca="false">IF($D293="Latin America &amp; Caribbean","Yes","No")</f>
        <v>No</v>
      </c>
      <c r="G293" s="9" t="str">
        <f aca="false">IF($C293="VEN","In-country record","Abroad")</f>
        <v>Abroad</v>
      </c>
      <c r="H293" s="24" t="n">
        <v>0</v>
      </c>
      <c r="I293" s="24" t="n">
        <v>5</v>
      </c>
      <c r="J293" s="24" t="n">
        <v>13</v>
      </c>
      <c r="K293" s="24" t="n">
        <v>15</v>
      </c>
      <c r="L293" s="24" t="n">
        <v>11</v>
      </c>
      <c r="M293" s="24" t="n">
        <v>0</v>
      </c>
      <c r="N293" s="24" t="n">
        <v>44</v>
      </c>
      <c r="O293" s="24" t="n">
        <v>0</v>
      </c>
      <c r="P293" s="24" t="n">
        <v>5</v>
      </c>
      <c r="Q293" s="24" t="n">
        <v>13</v>
      </c>
      <c r="R293" s="24" t="n">
        <v>15</v>
      </c>
      <c r="S293" s="24" t="n">
        <v>11</v>
      </c>
      <c r="T293" s="24" t="n">
        <v>0</v>
      </c>
      <c r="U293" s="24" t="n">
        <v>44</v>
      </c>
      <c r="V293" s="24" t="n">
        <v>117</v>
      </c>
      <c r="W293" s="24" t="n">
        <f aca="false">N293+U293</f>
        <v>88</v>
      </c>
      <c r="X293" s="32" t="n">
        <f aca="false">IF(V293&gt;0,W293/V293,0)</f>
        <v>0.752136752136752</v>
      </c>
      <c r="Y293" s="9"/>
    </row>
    <row r="294" customFormat="false" ht="15" hidden="false" customHeight="false" outlineLevel="0" collapsed="false">
      <c r="A294" s="25" t="n">
        <v>2024</v>
      </c>
      <c r="B294" s="9" t="s">
        <v>307</v>
      </c>
      <c r="C294" s="9" t="s">
        <v>160</v>
      </c>
      <c r="D294" s="9" t="str">
        <f aca="false">INDEX(Lookups!$C$5:$C$75,MATCH($C294,Lookups!$A$5:$A$75,0))</f>
        <v>North America</v>
      </c>
      <c r="E294" s="9" t="str">
        <f aca="false">INDEX(Lookups!$D$5:$D$75,MATCH($C294,Lookups!$A$5:$A$75,0))</f>
        <v>North America</v>
      </c>
      <c r="F294" s="9" t="str">
        <f aca="false">IF($D294="Latin America &amp; Caribbean","Yes","No")</f>
        <v>No</v>
      </c>
      <c r="G294" s="9" t="str">
        <f aca="false">IF($C294="VEN","In-country record","Abroad")</f>
        <v>Abroad</v>
      </c>
      <c r="H294" s="24" t="n">
        <v>0</v>
      </c>
      <c r="I294" s="24" t="n">
        <v>0</v>
      </c>
      <c r="J294" s="24" t="n">
        <v>0</v>
      </c>
      <c r="K294" s="24" t="n">
        <v>0</v>
      </c>
      <c r="L294" s="24" t="n">
        <v>0</v>
      </c>
      <c r="M294" s="24" t="n">
        <v>0</v>
      </c>
      <c r="N294" s="24" t="n">
        <v>0</v>
      </c>
      <c r="O294" s="24" t="n">
        <v>0</v>
      </c>
      <c r="P294" s="24" t="n">
        <v>0</v>
      </c>
      <c r="Q294" s="24" t="n">
        <v>0</v>
      </c>
      <c r="R294" s="24" t="n">
        <v>0</v>
      </c>
      <c r="S294" s="24" t="n">
        <v>0</v>
      </c>
      <c r="T294" s="24" t="n">
        <v>0</v>
      </c>
      <c r="U294" s="24" t="n">
        <v>0</v>
      </c>
      <c r="V294" s="24" t="n">
        <v>648202</v>
      </c>
      <c r="W294" s="24" t="n">
        <f aca="false">N294+U294</f>
        <v>0</v>
      </c>
      <c r="X294" s="32" t="n">
        <f aca="false">IF(V294&gt;0,W294/V294,0)</f>
        <v>0</v>
      </c>
      <c r="Y294" s="9" t="s">
        <v>330</v>
      </c>
    </row>
    <row r="295" customFormat="false" ht="15" hidden="false" customHeight="false" outlineLevel="0" collapsed="false">
      <c r="A295" s="25" t="n">
        <v>2024</v>
      </c>
      <c r="B295" s="9" t="s">
        <v>308</v>
      </c>
      <c r="C295" s="9" t="s">
        <v>168</v>
      </c>
      <c r="D295" s="9" t="str">
        <f aca="false">INDEX(Lookups!$C$5:$C$75,MATCH($C295,Lookups!$A$5:$A$75,0))</f>
        <v>Latin America &amp; Caribbean</v>
      </c>
      <c r="E295" s="9" t="str">
        <f aca="false">INDEX(Lookups!$D$5:$D$75,MATCH($C295,Lookups!$A$5:$A$75,0))</f>
        <v>Southern Cone &amp; Brazil</v>
      </c>
      <c r="F295" s="9" t="str">
        <f aca="false">IF($D295="Latin America &amp; Caribbean","Yes","No")</f>
        <v>Yes</v>
      </c>
      <c r="G295" s="9" t="str">
        <f aca="false">IF($C295="VEN","In-country record","Abroad")</f>
        <v>Abroad</v>
      </c>
      <c r="H295" s="24" t="n">
        <v>48</v>
      </c>
      <c r="I295" s="24" t="n">
        <v>362</v>
      </c>
      <c r="J295" s="24" t="n">
        <v>269</v>
      </c>
      <c r="K295" s="24" t="n">
        <v>1605</v>
      </c>
      <c r="L295" s="24" t="n">
        <v>152</v>
      </c>
      <c r="M295" s="24" t="n">
        <v>18360</v>
      </c>
      <c r="N295" s="24" t="n">
        <v>20796</v>
      </c>
      <c r="O295" s="24" t="n">
        <v>43</v>
      </c>
      <c r="P295" s="24" t="n">
        <v>365</v>
      </c>
      <c r="Q295" s="24" t="n">
        <v>243</v>
      </c>
      <c r="R295" s="24" t="n">
        <v>2051</v>
      </c>
      <c r="S295" s="24" t="n">
        <v>77</v>
      </c>
      <c r="T295" s="24" t="n">
        <v>17591</v>
      </c>
      <c r="U295" s="24" t="n">
        <v>20370</v>
      </c>
      <c r="V295" s="24" t="n">
        <v>41166</v>
      </c>
      <c r="W295" s="24" t="n">
        <f aca="false">N295+U295</f>
        <v>41166</v>
      </c>
      <c r="X295" s="32" t="n">
        <f aca="false">IF(V295&gt;0,W295/V295,0)</f>
        <v>1</v>
      </c>
      <c r="Y295" s="9"/>
    </row>
    <row r="296" customFormat="false" ht="15" hidden="false" customHeight="false" outlineLevel="0" collapsed="false">
      <c r="A296" s="25" t="n">
        <v>2024</v>
      </c>
      <c r="B296" s="9" t="s">
        <v>309</v>
      </c>
      <c r="C296" s="9" t="s">
        <v>310</v>
      </c>
      <c r="D296" s="9" t="str">
        <f aca="false">INDEX(Lookups!$C$5:$C$75,MATCH($C296,Lookups!$A$5:$A$75,0))</f>
        <v>Venezuela (in-country record)</v>
      </c>
      <c r="E296" s="9" t="str">
        <f aca="false">INDEX(Lookups!$D$5:$D$75,MATCH($C296,Lookups!$A$5:$A$75,0))</f>
        <v>Venezuela (in-country record)</v>
      </c>
      <c r="F296" s="9" t="str">
        <f aca="false">IF($D296="Latin America &amp; Caribbean","Yes","No")</f>
        <v>No</v>
      </c>
      <c r="G296" s="9" t="str">
        <f aca="false">IF($C296="VEN","In-country record","Abroad")</f>
        <v>In-country record</v>
      </c>
      <c r="H296" s="24" t="n">
        <v>19323</v>
      </c>
      <c r="I296" s="24" t="n">
        <v>24825</v>
      </c>
      <c r="J296" s="24" t="n">
        <v>35441</v>
      </c>
      <c r="K296" s="24" t="n">
        <v>208317</v>
      </c>
      <c r="L296" s="24" t="n">
        <v>19596</v>
      </c>
      <c r="M296" s="24" t="n">
        <v>0</v>
      </c>
      <c r="N296" s="24" t="n">
        <v>307502</v>
      </c>
      <c r="O296" s="24" t="n">
        <v>19320</v>
      </c>
      <c r="P296" s="24" t="n">
        <v>25058</v>
      </c>
      <c r="Q296" s="24" t="n">
        <v>32195</v>
      </c>
      <c r="R296" s="24" t="n">
        <v>189573</v>
      </c>
      <c r="S296" s="24" t="n">
        <v>16698</v>
      </c>
      <c r="T296" s="24" t="n">
        <v>0</v>
      </c>
      <c r="U296" s="24" t="n">
        <v>282844</v>
      </c>
      <c r="V296" s="24" t="n">
        <v>590346</v>
      </c>
      <c r="W296" s="24" t="n">
        <f aca="false">N296+U296</f>
        <v>590346</v>
      </c>
      <c r="X296" s="32" t="n">
        <f aca="false">IF(V296&gt;0,W296/V296,0)</f>
        <v>1</v>
      </c>
      <c r="Y296" s="9" t="s">
        <v>311</v>
      </c>
    </row>
    <row r="297" customFormat="false" ht="15" hidden="false" customHeight="false" outlineLevel="0" collapsed="false">
      <c r="A297" s="25" t="n">
        <v>2025</v>
      </c>
      <c r="B297" s="9" t="s">
        <v>245</v>
      </c>
      <c r="C297" s="9" t="s">
        <v>204</v>
      </c>
      <c r="D297" s="9" t="str">
        <f aca="false">INDEX(Lookups!$C$5:$C$75,MATCH($C297,Lookups!$A$5:$A$75,0))</f>
        <v>Europe</v>
      </c>
      <c r="E297" s="9" t="str">
        <f aca="false">INDEX(Lookups!$D$5:$D$75,MATCH($C297,Lookups!$A$5:$A$75,0))</f>
        <v>Europe</v>
      </c>
      <c r="F297" s="9" t="str">
        <f aca="false">IF($D297="Latin America &amp; Caribbean","Yes","No")</f>
        <v>No</v>
      </c>
      <c r="G297" s="9" t="str">
        <f aca="false">IF($C297="VEN","In-country record","Abroad")</f>
        <v>Abroad</v>
      </c>
      <c r="H297" s="24" t="n">
        <v>0</v>
      </c>
      <c r="I297" s="24" t="n">
        <v>0</v>
      </c>
      <c r="J297" s="24" t="n">
        <v>0</v>
      </c>
      <c r="K297" s="24" t="n">
        <v>5</v>
      </c>
      <c r="L297" s="24" t="n">
        <v>0</v>
      </c>
      <c r="M297" s="24" t="n">
        <v>0</v>
      </c>
      <c r="N297" s="24" t="n">
        <v>5</v>
      </c>
      <c r="O297" s="24" t="n">
        <v>0</v>
      </c>
      <c r="P297" s="24" t="n">
        <v>0</v>
      </c>
      <c r="Q297" s="24" t="n">
        <v>0</v>
      </c>
      <c r="R297" s="24" t="n">
        <v>0</v>
      </c>
      <c r="S297" s="24" t="n">
        <v>0</v>
      </c>
      <c r="T297" s="24" t="n">
        <v>0</v>
      </c>
      <c r="U297" s="24" t="n">
        <v>0</v>
      </c>
      <c r="V297" s="24" t="n">
        <v>5</v>
      </c>
      <c r="W297" s="24" t="n">
        <f aca="false">N297+U297</f>
        <v>5</v>
      </c>
      <c r="X297" s="32" t="n">
        <f aca="false">IF(V297&gt;0,W297/V297,0)</f>
        <v>1</v>
      </c>
      <c r="Y297" s="9"/>
    </row>
    <row r="298" customFormat="false" ht="15" hidden="false" customHeight="false" outlineLevel="0" collapsed="false">
      <c r="A298" s="25" t="n">
        <v>2025</v>
      </c>
      <c r="B298" s="9" t="s">
        <v>247</v>
      </c>
      <c r="C298" s="9" t="s">
        <v>162</v>
      </c>
      <c r="D298" s="9" t="str">
        <f aca="false">INDEX(Lookups!$C$5:$C$75,MATCH($C298,Lookups!$A$5:$A$75,0))</f>
        <v>Latin America &amp; Caribbean</v>
      </c>
      <c r="E298" s="9" t="str">
        <f aca="false">INDEX(Lookups!$D$5:$D$75,MATCH($C298,Lookups!$A$5:$A$75,0))</f>
        <v>Southern Cone &amp; Brazil</v>
      </c>
      <c r="F298" s="9" t="str">
        <f aca="false">IF($D298="Latin America &amp; Caribbean","Yes","No")</f>
        <v>Yes</v>
      </c>
      <c r="G298" s="9" t="str">
        <f aca="false">IF($C298="VEN","In-country record","Abroad")</f>
        <v>Abroad</v>
      </c>
      <c r="H298" s="24" t="n">
        <v>1049</v>
      </c>
      <c r="I298" s="24" t="n">
        <v>7463</v>
      </c>
      <c r="J298" s="24" t="n">
        <v>4994</v>
      </c>
      <c r="K298" s="24" t="n">
        <v>70603</v>
      </c>
      <c r="L298" s="24" t="n">
        <v>7965</v>
      </c>
      <c r="M298" s="24" t="n">
        <v>0</v>
      </c>
      <c r="N298" s="24" t="n">
        <v>92074</v>
      </c>
      <c r="O298" s="24" t="n">
        <v>1098</v>
      </c>
      <c r="P298" s="24" t="n">
        <v>7619</v>
      </c>
      <c r="Q298" s="24" t="n">
        <v>5088</v>
      </c>
      <c r="R298" s="24" t="n">
        <v>65233</v>
      </c>
      <c r="S298" s="24" t="n">
        <v>3682</v>
      </c>
      <c r="T298" s="24" t="n">
        <v>0</v>
      </c>
      <c r="U298" s="24" t="n">
        <v>82720</v>
      </c>
      <c r="V298" s="24" t="n">
        <v>174794</v>
      </c>
      <c r="W298" s="24" t="n">
        <f aca="false">N298+U298</f>
        <v>174794</v>
      </c>
      <c r="X298" s="32" t="n">
        <f aca="false">IF(V298&gt;0,W298/V298,0)</f>
        <v>1</v>
      </c>
      <c r="Y298" s="9"/>
    </row>
    <row r="299" customFormat="false" ht="15" hidden="false" customHeight="false" outlineLevel="0" collapsed="false">
      <c r="A299" s="25" t="n">
        <v>2025</v>
      </c>
      <c r="B299" s="9" t="s">
        <v>249</v>
      </c>
      <c r="C299" s="9" t="s">
        <v>173</v>
      </c>
      <c r="D299" s="9" t="str">
        <f aca="false">INDEX(Lookups!$C$5:$C$75,MATCH($C299,Lookups!$A$5:$A$75,0))</f>
        <v>Latin America &amp; Caribbean</v>
      </c>
      <c r="E299" s="9" t="str">
        <f aca="false">INDEX(Lookups!$D$5:$D$75,MATCH($C299,Lookups!$A$5:$A$75,0))</f>
        <v>Caribbean &amp; Guianas</v>
      </c>
      <c r="F299" s="9" t="str">
        <f aca="false">IF($D299="Latin America &amp; Caribbean","Yes","No")</f>
        <v>Yes</v>
      </c>
      <c r="G299" s="9" t="str">
        <f aca="false">IF($C299="VEN","In-country record","Abroad")</f>
        <v>Abroad</v>
      </c>
      <c r="H299" s="24" t="n">
        <v>0</v>
      </c>
      <c r="I299" s="24" t="n">
        <v>0</v>
      </c>
      <c r="J299" s="24" t="n">
        <v>0</v>
      </c>
      <c r="K299" s="24" t="n">
        <v>0</v>
      </c>
      <c r="L299" s="24" t="n">
        <v>0</v>
      </c>
      <c r="M299" s="24" t="n">
        <v>0</v>
      </c>
      <c r="N299" s="24" t="n">
        <v>0</v>
      </c>
      <c r="O299" s="24" t="n">
        <v>0</v>
      </c>
      <c r="P299" s="24" t="n">
        <v>0</v>
      </c>
      <c r="Q299" s="24" t="n">
        <v>0</v>
      </c>
      <c r="R299" s="24" t="n">
        <v>0</v>
      </c>
      <c r="S299" s="24" t="n">
        <v>0</v>
      </c>
      <c r="T299" s="24" t="n">
        <v>0</v>
      </c>
      <c r="U299" s="24" t="n">
        <v>0</v>
      </c>
      <c r="V299" s="24" t="n">
        <v>11470</v>
      </c>
      <c r="W299" s="24" t="n">
        <f aca="false">N299+U299</f>
        <v>0</v>
      </c>
      <c r="X299" s="32" t="n">
        <f aca="false">IF(V299&gt;0,W299/V299,0)</f>
        <v>0</v>
      </c>
      <c r="Y299" s="9" t="s">
        <v>250</v>
      </c>
    </row>
    <row r="300" customFormat="false" ht="15" hidden="false" customHeight="false" outlineLevel="0" collapsed="false">
      <c r="A300" s="25" t="n">
        <v>2025</v>
      </c>
      <c r="B300" s="9" t="s">
        <v>251</v>
      </c>
      <c r="C300" s="9" t="s">
        <v>184</v>
      </c>
      <c r="D300" s="9" t="str">
        <f aca="false">INDEX(Lookups!$C$5:$C$75,MATCH($C300,Lookups!$A$5:$A$75,0))</f>
        <v>Other regions</v>
      </c>
      <c r="E300" s="9" t="str">
        <f aca="false">INDEX(Lookups!$D$5:$D$75,MATCH($C300,Lookups!$A$5:$A$75,0))</f>
        <v>Rest of world</v>
      </c>
      <c r="F300" s="9" t="str">
        <f aca="false">IF($D300="Latin America &amp; Caribbean","Yes","No")</f>
        <v>No</v>
      </c>
      <c r="G300" s="9" t="str">
        <f aca="false">IF($C300="VEN","In-country record","Abroad")</f>
        <v>Abroad</v>
      </c>
      <c r="H300" s="24" t="n">
        <v>0</v>
      </c>
      <c r="I300" s="24" t="n">
        <v>0</v>
      </c>
      <c r="J300" s="24" t="n">
        <v>0</v>
      </c>
      <c r="K300" s="24" t="n">
        <v>0</v>
      </c>
      <c r="L300" s="24" t="n">
        <v>0</v>
      </c>
      <c r="M300" s="24" t="n">
        <v>0</v>
      </c>
      <c r="N300" s="24" t="n">
        <v>0</v>
      </c>
      <c r="O300" s="24" t="n">
        <v>0</v>
      </c>
      <c r="P300" s="24" t="n">
        <v>0</v>
      </c>
      <c r="Q300" s="24" t="n">
        <v>0</v>
      </c>
      <c r="R300" s="24" t="n">
        <v>0</v>
      </c>
      <c r="S300" s="24" t="n">
        <v>0</v>
      </c>
      <c r="T300" s="24" t="n">
        <v>0</v>
      </c>
      <c r="U300" s="24" t="n">
        <v>0</v>
      </c>
      <c r="V300" s="24" t="n">
        <v>358</v>
      </c>
      <c r="W300" s="24" t="n">
        <f aca="false">N300+U300</f>
        <v>0</v>
      </c>
      <c r="X300" s="32" t="n">
        <f aca="false">IF(V300&gt;0,W300/V300,0)</f>
        <v>0</v>
      </c>
      <c r="Y300" s="9"/>
    </row>
    <row r="301" customFormat="false" ht="15" hidden="false" customHeight="false" outlineLevel="0" collapsed="false">
      <c r="A301" s="25" t="n">
        <v>2025</v>
      </c>
      <c r="B301" s="9" t="s">
        <v>252</v>
      </c>
      <c r="C301" s="9" t="s">
        <v>187</v>
      </c>
      <c r="D301" s="9" t="str">
        <f aca="false">INDEX(Lookups!$C$5:$C$75,MATCH($C301,Lookups!$A$5:$A$75,0))</f>
        <v>Europe</v>
      </c>
      <c r="E301" s="9" t="str">
        <f aca="false">INDEX(Lookups!$D$5:$D$75,MATCH($C301,Lookups!$A$5:$A$75,0))</f>
        <v>Europe</v>
      </c>
      <c r="F301" s="9" t="str">
        <f aca="false">IF($D301="Latin America &amp; Caribbean","Yes","No")</f>
        <v>No</v>
      </c>
      <c r="G301" s="9" t="str">
        <f aca="false">IF($C301="VEN","In-country record","Abroad")</f>
        <v>Abroad</v>
      </c>
      <c r="H301" s="24" t="n">
        <v>19</v>
      </c>
      <c r="I301" s="24" t="n">
        <v>34</v>
      </c>
      <c r="J301" s="24" t="n">
        <v>9</v>
      </c>
      <c r="K301" s="24" t="n">
        <v>57</v>
      </c>
      <c r="L301" s="24" t="n">
        <v>5</v>
      </c>
      <c r="M301" s="24" t="n">
        <v>0</v>
      </c>
      <c r="N301" s="24" t="n">
        <v>124</v>
      </c>
      <c r="O301" s="24" t="n">
        <v>18</v>
      </c>
      <c r="P301" s="24" t="n">
        <v>36</v>
      </c>
      <c r="Q301" s="24" t="n">
        <v>19</v>
      </c>
      <c r="R301" s="24" t="n">
        <v>74</v>
      </c>
      <c r="S301" s="24" t="n">
        <v>0</v>
      </c>
      <c r="T301" s="24" t="n">
        <v>0</v>
      </c>
      <c r="U301" s="24" t="n">
        <v>147</v>
      </c>
      <c r="V301" s="24" t="n">
        <v>271</v>
      </c>
      <c r="W301" s="24" t="n">
        <f aca="false">N301+U301</f>
        <v>271</v>
      </c>
      <c r="X301" s="32" t="n">
        <f aca="false">IF(V301&gt;0,W301/V301,0)</f>
        <v>1</v>
      </c>
      <c r="Y301" s="9"/>
    </row>
    <row r="302" customFormat="false" ht="15" hidden="false" customHeight="false" outlineLevel="0" collapsed="false">
      <c r="A302" s="25" t="n">
        <v>2025</v>
      </c>
      <c r="B302" s="9" t="s">
        <v>254</v>
      </c>
      <c r="C302" s="9" t="s">
        <v>181</v>
      </c>
      <c r="D302" s="9" t="str">
        <f aca="false">INDEX(Lookups!$C$5:$C$75,MATCH($C302,Lookups!$A$5:$A$75,0))</f>
        <v>Europe</v>
      </c>
      <c r="E302" s="9" t="str">
        <f aca="false">INDEX(Lookups!$D$5:$D$75,MATCH($C302,Lookups!$A$5:$A$75,0))</f>
        <v>Europe</v>
      </c>
      <c r="F302" s="9" t="str">
        <f aca="false">IF($D302="Latin America &amp; Caribbean","Yes","No")</f>
        <v>No</v>
      </c>
      <c r="G302" s="9" t="str">
        <f aca="false">IF($C302="VEN","In-country record","Abroad")</f>
        <v>Abroad</v>
      </c>
      <c r="H302" s="24" t="n">
        <v>23</v>
      </c>
      <c r="I302" s="24" t="n">
        <v>25</v>
      </c>
      <c r="J302" s="24" t="n">
        <v>22</v>
      </c>
      <c r="K302" s="24" t="n">
        <v>301</v>
      </c>
      <c r="L302" s="24" t="n">
        <v>26</v>
      </c>
      <c r="M302" s="24" t="n">
        <v>198</v>
      </c>
      <c r="N302" s="24" t="n">
        <v>595</v>
      </c>
      <c r="O302" s="24" t="n">
        <v>15</v>
      </c>
      <c r="P302" s="24" t="n">
        <v>32</v>
      </c>
      <c r="Q302" s="24" t="n">
        <v>42</v>
      </c>
      <c r="R302" s="24" t="n">
        <v>276</v>
      </c>
      <c r="S302" s="24" t="n">
        <v>18</v>
      </c>
      <c r="T302" s="24" t="n">
        <v>220</v>
      </c>
      <c r="U302" s="24" t="n">
        <v>603</v>
      </c>
      <c r="V302" s="24" t="n">
        <v>1198</v>
      </c>
      <c r="W302" s="24" t="n">
        <f aca="false">N302+U302</f>
        <v>1198</v>
      </c>
      <c r="X302" s="32" t="n">
        <f aca="false">IF(V302&gt;0,W302/V302,0)</f>
        <v>1</v>
      </c>
      <c r="Y302" s="9"/>
    </row>
    <row r="303" customFormat="false" ht="15" hidden="false" customHeight="false" outlineLevel="0" collapsed="false">
      <c r="A303" s="25" t="n">
        <v>2025</v>
      </c>
      <c r="B303" s="9" t="s">
        <v>331</v>
      </c>
      <c r="C303" s="9" t="s">
        <v>201</v>
      </c>
      <c r="D303" s="9" t="str">
        <f aca="false">INDEX(Lookups!$C$5:$C$75,MATCH($C303,Lookups!$A$5:$A$75,0))</f>
        <v>Latin America &amp; Caribbean</v>
      </c>
      <c r="E303" s="9" t="str">
        <f aca="false">INDEX(Lookups!$D$5:$D$75,MATCH($C303,Lookups!$A$5:$A$75,0))</f>
        <v>Central America &amp; Mexico</v>
      </c>
      <c r="F303" s="9" t="str">
        <f aca="false">IF($D303="Latin America &amp; Caribbean","Yes","No")</f>
        <v>Yes</v>
      </c>
      <c r="G303" s="9" t="str">
        <f aca="false">IF($C303="VEN","In-country record","Abroad")</f>
        <v>Abroad</v>
      </c>
      <c r="H303" s="24" t="n">
        <v>0</v>
      </c>
      <c r="I303" s="24" t="n">
        <v>0</v>
      </c>
      <c r="J303" s="24" t="n">
        <v>0</v>
      </c>
      <c r="K303" s="24" t="n">
        <v>0</v>
      </c>
      <c r="L303" s="24" t="n">
        <v>0</v>
      </c>
      <c r="M303" s="24" t="n">
        <v>0</v>
      </c>
      <c r="N303" s="24" t="n">
        <v>0</v>
      </c>
      <c r="O303" s="24" t="n">
        <v>0</v>
      </c>
      <c r="P303" s="24" t="n">
        <v>0</v>
      </c>
      <c r="Q303" s="24" t="n">
        <v>0</v>
      </c>
      <c r="R303" s="24" t="n">
        <v>7</v>
      </c>
      <c r="S303" s="24" t="n">
        <v>0</v>
      </c>
      <c r="T303" s="24" t="n">
        <v>0</v>
      </c>
      <c r="U303" s="24" t="n">
        <v>7</v>
      </c>
      <c r="V303" s="24" t="n">
        <v>13</v>
      </c>
      <c r="W303" s="24" t="n">
        <f aca="false">N303+U303</f>
        <v>7</v>
      </c>
      <c r="X303" s="32" t="n">
        <f aca="false">IF(V303&gt;0,W303/V303,0)</f>
        <v>0.538461538461538</v>
      </c>
      <c r="Y303" s="9"/>
    </row>
    <row r="304" customFormat="false" ht="15" hidden="false" customHeight="false" outlineLevel="0" collapsed="false">
      <c r="A304" s="25" t="n">
        <v>2025</v>
      </c>
      <c r="B304" s="9" t="s">
        <v>255</v>
      </c>
      <c r="C304" s="9" t="s">
        <v>171</v>
      </c>
      <c r="D304" s="9" t="str">
        <f aca="false">INDEX(Lookups!$C$5:$C$75,MATCH($C304,Lookups!$A$5:$A$75,0))</f>
        <v>Latin America &amp; Caribbean</v>
      </c>
      <c r="E304" s="9" t="str">
        <f aca="false">INDEX(Lookups!$D$5:$D$75,MATCH($C304,Lookups!$A$5:$A$75,0))</f>
        <v>Andean region</v>
      </c>
      <c r="F304" s="9" t="str">
        <f aca="false">IF($D304="Latin America &amp; Caribbean","Yes","No")</f>
        <v>Yes</v>
      </c>
      <c r="G304" s="9" t="str">
        <f aca="false">IF($C304="VEN","In-country record","Abroad")</f>
        <v>Abroad</v>
      </c>
      <c r="H304" s="24" t="n">
        <v>153</v>
      </c>
      <c r="I304" s="24" t="n">
        <v>307</v>
      </c>
      <c r="J304" s="24" t="n">
        <v>316</v>
      </c>
      <c r="K304" s="24" t="n">
        <v>2826</v>
      </c>
      <c r="L304" s="24" t="n">
        <v>228</v>
      </c>
      <c r="M304" s="24" t="n">
        <v>0</v>
      </c>
      <c r="N304" s="24" t="n">
        <v>3830</v>
      </c>
      <c r="O304" s="24" t="n">
        <v>144</v>
      </c>
      <c r="P304" s="24" t="n">
        <v>314</v>
      </c>
      <c r="Q304" s="24" t="n">
        <v>324</v>
      </c>
      <c r="R304" s="24" t="n">
        <v>3494</v>
      </c>
      <c r="S304" s="24" t="n">
        <v>153</v>
      </c>
      <c r="T304" s="24" t="n">
        <v>0</v>
      </c>
      <c r="U304" s="24" t="n">
        <v>4429</v>
      </c>
      <c r="V304" s="24" t="n">
        <v>17138</v>
      </c>
      <c r="W304" s="24" t="n">
        <f aca="false">N304+U304</f>
        <v>8259</v>
      </c>
      <c r="X304" s="32" t="n">
        <f aca="false">IF(V304&gt;0,W304/V304,0)</f>
        <v>0.481911541603454</v>
      </c>
      <c r="Y304" s="9"/>
    </row>
    <row r="305" customFormat="false" ht="15" hidden="false" customHeight="false" outlineLevel="0" collapsed="false">
      <c r="A305" s="25" t="n">
        <v>2025</v>
      </c>
      <c r="B305" s="9" t="s">
        <v>256</v>
      </c>
      <c r="C305" s="9" t="s">
        <v>157</v>
      </c>
      <c r="D305" s="9" t="str">
        <f aca="false">INDEX(Lookups!$C$5:$C$75,MATCH($C305,Lookups!$A$5:$A$75,0))</f>
        <v>Latin America &amp; Caribbean</v>
      </c>
      <c r="E305" s="9" t="str">
        <f aca="false">INDEX(Lookups!$D$5:$D$75,MATCH($C305,Lookups!$A$5:$A$75,0))</f>
        <v>Southern Cone &amp; Brazil</v>
      </c>
      <c r="F305" s="9" t="str">
        <f aca="false">IF($D305="Latin America &amp; Caribbean","Yes","No")</f>
        <v>Yes</v>
      </c>
      <c r="G305" s="9" t="str">
        <f aca="false">IF($C305="VEN","In-country record","Abroad")</f>
        <v>Abroad</v>
      </c>
      <c r="H305" s="24" t="n">
        <v>3733</v>
      </c>
      <c r="I305" s="24" t="n">
        <v>10664</v>
      </c>
      <c r="J305" s="24" t="n">
        <v>7609</v>
      </c>
      <c r="K305" s="24" t="n">
        <v>43615</v>
      </c>
      <c r="L305" s="24" t="n">
        <v>2741</v>
      </c>
      <c r="M305" s="24" t="n">
        <v>5</v>
      </c>
      <c r="N305" s="24" t="n">
        <v>68367</v>
      </c>
      <c r="O305" s="24" t="n">
        <v>3741</v>
      </c>
      <c r="P305" s="24" t="n">
        <v>11135</v>
      </c>
      <c r="Q305" s="24" t="n">
        <v>8058</v>
      </c>
      <c r="R305" s="24" t="n">
        <v>55023</v>
      </c>
      <c r="S305" s="24" t="n">
        <v>2685</v>
      </c>
      <c r="T305" s="24" t="n">
        <v>0</v>
      </c>
      <c r="U305" s="24" t="n">
        <v>80642</v>
      </c>
      <c r="V305" s="24" t="n">
        <v>732272</v>
      </c>
      <c r="W305" s="24" t="n">
        <f aca="false">N305+U305</f>
        <v>149009</v>
      </c>
      <c r="X305" s="32" t="n">
        <f aca="false">IF(V305&gt;0,W305/V305,0)</f>
        <v>0.20348859440208</v>
      </c>
      <c r="Y305" s="9" t="s">
        <v>248</v>
      </c>
    </row>
    <row r="306" customFormat="false" ht="15" hidden="false" customHeight="false" outlineLevel="0" collapsed="false">
      <c r="A306" s="25" t="n">
        <v>2025</v>
      </c>
      <c r="B306" s="9" t="s">
        <v>258</v>
      </c>
      <c r="C306" s="9" t="s">
        <v>176</v>
      </c>
      <c r="D306" s="9" t="str">
        <f aca="false">INDEX(Lookups!$C$5:$C$75,MATCH($C306,Lookups!$A$5:$A$75,0))</f>
        <v>North America</v>
      </c>
      <c r="E306" s="9" t="str">
        <f aca="false">INDEX(Lookups!$D$5:$D$75,MATCH($C306,Lookups!$A$5:$A$75,0))</f>
        <v>North America</v>
      </c>
      <c r="F306" s="9" t="str">
        <f aca="false">IF($D306="Latin America &amp; Caribbean","Yes","No")</f>
        <v>No</v>
      </c>
      <c r="G306" s="9" t="str">
        <f aca="false">IF($C306="VEN","In-country record","Abroad")</f>
        <v>Abroad</v>
      </c>
      <c r="H306" s="24" t="n">
        <v>98</v>
      </c>
      <c r="I306" s="24" t="n">
        <v>365</v>
      </c>
      <c r="J306" s="24" t="n">
        <v>246</v>
      </c>
      <c r="K306" s="24" t="n">
        <v>1770</v>
      </c>
      <c r="L306" s="24" t="n">
        <v>383</v>
      </c>
      <c r="M306" s="24" t="n">
        <v>445</v>
      </c>
      <c r="N306" s="24" t="n">
        <v>3307</v>
      </c>
      <c r="O306" s="24" t="n">
        <v>83</v>
      </c>
      <c r="P306" s="24" t="n">
        <v>344</v>
      </c>
      <c r="Q306" s="24" t="n">
        <v>222</v>
      </c>
      <c r="R306" s="24" t="n">
        <v>2633</v>
      </c>
      <c r="S306" s="24" t="n">
        <v>189</v>
      </c>
      <c r="T306" s="24" t="n">
        <v>658</v>
      </c>
      <c r="U306" s="24" t="n">
        <v>4129</v>
      </c>
      <c r="V306" s="24" t="n">
        <v>7436</v>
      </c>
      <c r="W306" s="24" t="n">
        <f aca="false">N306+U306</f>
        <v>7436</v>
      </c>
      <c r="X306" s="32" t="n">
        <f aca="false">IF(V306&gt;0,W306/V306,0)</f>
        <v>1</v>
      </c>
      <c r="Y306" s="9"/>
    </row>
    <row r="307" customFormat="false" ht="15" hidden="false" customHeight="false" outlineLevel="0" collapsed="false">
      <c r="A307" s="25" t="n">
        <v>2025</v>
      </c>
      <c r="B307" s="9" t="s">
        <v>259</v>
      </c>
      <c r="C307" s="9" t="s">
        <v>195</v>
      </c>
      <c r="D307" s="9" t="str">
        <f aca="false">INDEX(Lookups!$C$5:$C$75,MATCH($C307,Lookups!$A$5:$A$75,0))</f>
        <v>Latin America &amp; Caribbean</v>
      </c>
      <c r="E307" s="9" t="str">
        <f aca="false">INDEX(Lookups!$D$5:$D$75,MATCH($C307,Lookups!$A$5:$A$75,0))</f>
        <v>Caribbean &amp; Guianas</v>
      </c>
      <c r="F307" s="9" t="str">
        <f aca="false">IF($D307="Latin America &amp; Caribbean","Yes","No")</f>
        <v>Yes</v>
      </c>
      <c r="G307" s="9" t="str">
        <f aca="false">IF($C307="VEN","In-country record","Abroad")</f>
        <v>Abroad</v>
      </c>
      <c r="H307" s="24" t="n">
        <v>0</v>
      </c>
      <c r="I307" s="24" t="n">
        <v>0</v>
      </c>
      <c r="J307" s="24" t="n">
        <v>0</v>
      </c>
      <c r="K307" s="24" t="n">
        <v>0</v>
      </c>
      <c r="L307" s="24" t="n">
        <v>0</v>
      </c>
      <c r="M307" s="24" t="n">
        <v>0</v>
      </c>
      <c r="N307" s="24" t="n">
        <v>0</v>
      </c>
      <c r="O307" s="24" t="n">
        <v>0</v>
      </c>
      <c r="P307" s="24" t="n">
        <v>0</v>
      </c>
      <c r="Q307" s="24" t="n">
        <v>0</v>
      </c>
      <c r="R307" s="24" t="n">
        <v>0</v>
      </c>
      <c r="S307" s="24" t="n">
        <v>0</v>
      </c>
      <c r="T307" s="24" t="n">
        <v>50</v>
      </c>
      <c r="U307" s="24" t="n">
        <v>50</v>
      </c>
      <c r="V307" s="24" t="n">
        <v>50</v>
      </c>
      <c r="W307" s="24" t="n">
        <f aca="false">N307+U307</f>
        <v>50</v>
      </c>
      <c r="X307" s="32" t="n">
        <f aca="false">IF(V307&gt;0,W307/V307,0)</f>
        <v>1</v>
      </c>
      <c r="Y307" s="9"/>
    </row>
    <row r="308" customFormat="false" ht="15" hidden="false" customHeight="false" outlineLevel="0" collapsed="false">
      <c r="A308" s="25" t="n">
        <v>2025</v>
      </c>
      <c r="B308" s="9" t="s">
        <v>260</v>
      </c>
      <c r="C308" s="9" t="s">
        <v>158</v>
      </c>
      <c r="D308" s="9" t="str">
        <f aca="false">INDEX(Lookups!$C$5:$C$75,MATCH($C308,Lookups!$A$5:$A$75,0))</f>
        <v>Latin America &amp; Caribbean</v>
      </c>
      <c r="E308" s="9" t="str">
        <f aca="false">INDEX(Lookups!$D$5:$D$75,MATCH($C308,Lookups!$A$5:$A$75,0))</f>
        <v>Southern Cone &amp; Brazil</v>
      </c>
      <c r="F308" s="9" t="str">
        <f aca="false">IF($D308="Latin America &amp; Caribbean","Yes","No")</f>
        <v>Yes</v>
      </c>
      <c r="G308" s="9" t="str">
        <f aca="false">IF($C308="VEN","In-country record","Abroad")</f>
        <v>Abroad</v>
      </c>
      <c r="H308" s="24" t="n">
        <v>3512</v>
      </c>
      <c r="I308" s="24" t="n">
        <v>34306</v>
      </c>
      <c r="J308" s="24" t="n">
        <v>26099</v>
      </c>
      <c r="K308" s="24" t="n">
        <v>254408</v>
      </c>
      <c r="L308" s="24" t="n">
        <v>21446</v>
      </c>
      <c r="M308" s="24" t="n">
        <v>0</v>
      </c>
      <c r="N308" s="24" t="n">
        <v>339771</v>
      </c>
      <c r="O308" s="24" t="n">
        <v>3613</v>
      </c>
      <c r="P308" s="24" t="n">
        <v>35189</v>
      </c>
      <c r="Q308" s="24" t="n">
        <v>27284</v>
      </c>
      <c r="R308" s="24" t="n">
        <v>246265</v>
      </c>
      <c r="S308" s="24" t="n">
        <v>10382</v>
      </c>
      <c r="T308" s="24" t="n">
        <v>0</v>
      </c>
      <c r="U308" s="24" t="n">
        <v>322733</v>
      </c>
      <c r="V308" s="24" t="n">
        <v>669408</v>
      </c>
      <c r="W308" s="24" t="n">
        <f aca="false">N308+U308</f>
        <v>662504</v>
      </c>
      <c r="X308" s="32" t="n">
        <f aca="false">IF(V308&gt;0,W308/V308,0)</f>
        <v>0.989686409484201</v>
      </c>
      <c r="Y308" s="9" t="s">
        <v>313</v>
      </c>
    </row>
    <row r="309" customFormat="false" ht="15" hidden="false" customHeight="false" outlineLevel="0" collapsed="false">
      <c r="A309" s="25" t="n">
        <v>2025</v>
      </c>
      <c r="B309" s="9" t="s">
        <v>101</v>
      </c>
      <c r="C309" s="9" t="s">
        <v>155</v>
      </c>
      <c r="D309" s="9" t="str">
        <f aca="false">INDEX(Lookups!$C$5:$C$75,MATCH($C309,Lookups!$A$5:$A$75,0))</f>
        <v>Latin America &amp; Caribbean</v>
      </c>
      <c r="E309" s="9" t="str">
        <f aca="false">INDEX(Lookups!$D$5:$D$75,MATCH($C309,Lookups!$A$5:$A$75,0))</f>
        <v>Andean region</v>
      </c>
      <c r="F309" s="9" t="str">
        <f aca="false">IF($D309="Latin America &amp; Caribbean","Yes","No")</f>
        <v>Yes</v>
      </c>
      <c r="G309" s="9" t="str">
        <f aca="false">IF($C309="VEN","In-country record","Abroad")</f>
        <v>Abroad</v>
      </c>
      <c r="H309" s="24" t="n">
        <v>43865</v>
      </c>
      <c r="I309" s="24" t="n">
        <v>208940</v>
      </c>
      <c r="J309" s="24" t="n">
        <v>182981</v>
      </c>
      <c r="K309" s="24" t="n">
        <v>1017787</v>
      </c>
      <c r="L309" s="24" t="n">
        <v>44480</v>
      </c>
      <c r="M309" s="24" t="n">
        <v>88</v>
      </c>
      <c r="N309" s="24" t="n">
        <v>1498141</v>
      </c>
      <c r="O309" s="24" t="n">
        <v>43682</v>
      </c>
      <c r="P309" s="24" t="n">
        <v>236624</v>
      </c>
      <c r="Q309" s="24" t="n">
        <v>180981</v>
      </c>
      <c r="R309" s="24" t="n">
        <v>840528</v>
      </c>
      <c r="S309" s="24" t="n">
        <v>27055</v>
      </c>
      <c r="T309" s="24" t="n">
        <v>87</v>
      </c>
      <c r="U309" s="24" t="n">
        <v>1328957</v>
      </c>
      <c r="V309" s="24" t="n">
        <v>2828195</v>
      </c>
      <c r="W309" s="24" t="n">
        <f aca="false">N309+U309</f>
        <v>2827098</v>
      </c>
      <c r="X309" s="32" t="n">
        <f aca="false">IF(V309&gt;0,W309/V309,0)</f>
        <v>0.999612120097801</v>
      </c>
      <c r="Y309" s="9"/>
    </row>
    <row r="310" customFormat="false" ht="15" hidden="false" customHeight="false" outlineLevel="0" collapsed="false">
      <c r="A310" s="25" t="n">
        <v>2025</v>
      </c>
      <c r="B310" s="9" t="s">
        <v>261</v>
      </c>
      <c r="C310" s="9" t="s">
        <v>166</v>
      </c>
      <c r="D310" s="9" t="str">
        <f aca="false">INDEX(Lookups!$C$5:$C$75,MATCH($C310,Lookups!$A$5:$A$75,0))</f>
        <v>Latin America &amp; Caribbean</v>
      </c>
      <c r="E310" s="9" t="str">
        <f aca="false">INDEX(Lookups!$D$5:$D$75,MATCH($C310,Lookups!$A$5:$A$75,0))</f>
        <v>Central America &amp; Mexico</v>
      </c>
      <c r="F310" s="9" t="str">
        <f aca="false">IF($D310="Latin America &amp; Caribbean","Yes","No")</f>
        <v>Yes</v>
      </c>
      <c r="G310" s="9" t="str">
        <f aca="false">IF($C310="VEN","In-country record","Abroad")</f>
        <v>Abroad</v>
      </c>
      <c r="H310" s="24" t="n">
        <v>7</v>
      </c>
      <c r="I310" s="24" t="n">
        <v>174</v>
      </c>
      <c r="J310" s="24" t="n">
        <v>185</v>
      </c>
      <c r="K310" s="24" t="n">
        <v>1759</v>
      </c>
      <c r="L310" s="24" t="n">
        <v>129</v>
      </c>
      <c r="M310" s="24" t="n">
        <v>12192</v>
      </c>
      <c r="N310" s="24" t="n">
        <v>14446</v>
      </c>
      <c r="O310" s="24" t="n">
        <v>150</v>
      </c>
      <c r="P310" s="24" t="n">
        <v>760</v>
      </c>
      <c r="Q310" s="24" t="n">
        <v>246</v>
      </c>
      <c r="R310" s="24" t="n">
        <v>1995</v>
      </c>
      <c r="S310" s="24" t="n">
        <v>182</v>
      </c>
      <c r="T310" s="24" t="n">
        <v>11714</v>
      </c>
      <c r="U310" s="24" t="n">
        <v>15047</v>
      </c>
      <c r="V310" s="24" t="n">
        <v>29493</v>
      </c>
      <c r="W310" s="24" t="n">
        <f aca="false">N310+U310</f>
        <v>29493</v>
      </c>
      <c r="X310" s="32" t="n">
        <f aca="false">IF(V310&gt;0,W310/V310,0)</f>
        <v>1</v>
      </c>
      <c r="Y310" s="9"/>
    </row>
    <row r="311" customFormat="false" ht="15" hidden="false" customHeight="false" outlineLevel="0" collapsed="false">
      <c r="A311" s="25" t="n">
        <v>2025</v>
      </c>
      <c r="B311" s="9" t="s">
        <v>327</v>
      </c>
      <c r="C311" s="9" t="s">
        <v>206</v>
      </c>
      <c r="D311" s="9" t="str">
        <f aca="false">INDEX(Lookups!$C$5:$C$75,MATCH($C311,Lookups!$A$5:$A$75,0))</f>
        <v>Europe</v>
      </c>
      <c r="E311" s="9" t="str">
        <f aca="false">INDEX(Lookups!$D$5:$D$75,MATCH($C311,Lookups!$A$5:$A$75,0))</f>
        <v>Europe</v>
      </c>
      <c r="F311" s="9" t="str">
        <f aca="false">IF($D311="Latin America &amp; Caribbean","Yes","No")</f>
        <v>No</v>
      </c>
      <c r="G311" s="9" t="str">
        <f aca="false">IF($C311="VEN","In-country record","Abroad")</f>
        <v>Abroad</v>
      </c>
      <c r="H311" s="24" t="n">
        <v>0</v>
      </c>
      <c r="I311" s="24" t="n">
        <v>0</v>
      </c>
      <c r="J311" s="24" t="n">
        <v>0</v>
      </c>
      <c r="K311" s="24" t="n">
        <v>0</v>
      </c>
      <c r="L311" s="24" t="n">
        <v>0</v>
      </c>
      <c r="M311" s="24" t="n">
        <v>5</v>
      </c>
      <c r="N311" s="24" t="n">
        <v>5</v>
      </c>
      <c r="O311" s="24" t="n">
        <v>0</v>
      </c>
      <c r="P311" s="24" t="n">
        <v>0</v>
      </c>
      <c r="Q311" s="24" t="n">
        <v>0</v>
      </c>
      <c r="R311" s="24" t="n">
        <v>0</v>
      </c>
      <c r="S311" s="24" t="n">
        <v>0</v>
      </c>
      <c r="T311" s="24" t="n">
        <v>0</v>
      </c>
      <c r="U311" s="24" t="n">
        <v>0</v>
      </c>
      <c r="V311" s="24" t="n">
        <v>5</v>
      </c>
      <c r="W311" s="24" t="n">
        <f aca="false">N311+U311</f>
        <v>5</v>
      </c>
      <c r="X311" s="32" t="n">
        <f aca="false">IF(V311&gt;0,W311/V311,0)</f>
        <v>1</v>
      </c>
      <c r="Y311" s="9"/>
    </row>
    <row r="312" customFormat="false" ht="15" hidden="false" customHeight="false" outlineLevel="0" collapsed="false">
      <c r="A312" s="25" t="n">
        <v>2025</v>
      </c>
      <c r="B312" s="9" t="s">
        <v>262</v>
      </c>
      <c r="C312" s="9" t="s">
        <v>177</v>
      </c>
      <c r="D312" s="9" t="str">
        <f aca="false">INDEX(Lookups!$C$5:$C$75,MATCH($C312,Lookups!$A$5:$A$75,0))</f>
        <v>Latin America &amp; Caribbean</v>
      </c>
      <c r="E312" s="9" t="str">
        <f aca="false">INDEX(Lookups!$D$5:$D$75,MATCH($C312,Lookups!$A$5:$A$75,0))</f>
        <v>Caribbean &amp; Guianas</v>
      </c>
      <c r="F312" s="9" t="str">
        <f aca="false">IF($D312="Latin America &amp; Caribbean","Yes","No")</f>
        <v>Yes</v>
      </c>
      <c r="G312" s="9" t="str">
        <f aca="false">IF($C312="VEN","In-country record","Abroad")</f>
        <v>Abroad</v>
      </c>
      <c r="H312" s="24" t="n">
        <v>0</v>
      </c>
      <c r="I312" s="24" t="n">
        <v>0</v>
      </c>
      <c r="J312" s="24" t="n">
        <v>0</v>
      </c>
      <c r="K312" s="24" t="n">
        <v>0</v>
      </c>
      <c r="L312" s="24" t="n">
        <v>0</v>
      </c>
      <c r="M312" s="24" t="n">
        <v>0</v>
      </c>
      <c r="N312" s="24" t="n">
        <v>0</v>
      </c>
      <c r="O312" s="24" t="n">
        <v>0</v>
      </c>
      <c r="P312" s="24" t="n">
        <v>0</v>
      </c>
      <c r="Q312" s="24" t="n">
        <v>0</v>
      </c>
      <c r="R312" s="24" t="n">
        <v>0</v>
      </c>
      <c r="S312" s="24" t="n">
        <v>0</v>
      </c>
      <c r="T312" s="24" t="n">
        <v>0</v>
      </c>
      <c r="U312" s="24" t="n">
        <v>0</v>
      </c>
      <c r="V312" s="24" t="n">
        <v>6903</v>
      </c>
      <c r="W312" s="24" t="n">
        <f aca="false">N312+U312</f>
        <v>0</v>
      </c>
      <c r="X312" s="32" t="n">
        <f aca="false">IF(V312&gt;0,W312/V312,0)</f>
        <v>0</v>
      </c>
      <c r="Y312" s="9" t="s">
        <v>248</v>
      </c>
    </row>
    <row r="313" customFormat="false" ht="15" hidden="false" customHeight="false" outlineLevel="0" collapsed="false">
      <c r="A313" s="25" t="n">
        <v>2025</v>
      </c>
      <c r="B313" s="9" t="s">
        <v>263</v>
      </c>
      <c r="C313" s="9" t="s">
        <v>200</v>
      </c>
      <c r="D313" s="9" t="str">
        <f aca="false">INDEX(Lookups!$C$5:$C$75,MATCH($C313,Lookups!$A$5:$A$75,0))</f>
        <v>Europe</v>
      </c>
      <c r="E313" s="9" t="str">
        <f aca="false">INDEX(Lookups!$D$5:$D$75,MATCH($C313,Lookups!$A$5:$A$75,0))</f>
        <v>Europe</v>
      </c>
      <c r="F313" s="9" t="str">
        <f aca="false">IF($D313="Latin America &amp; Caribbean","Yes","No")</f>
        <v>No</v>
      </c>
      <c r="G313" s="9" t="str">
        <f aca="false">IF($C313="VEN","In-country record","Abroad")</f>
        <v>Abroad</v>
      </c>
      <c r="H313" s="24" t="n">
        <v>0</v>
      </c>
      <c r="I313" s="24" t="n">
        <v>0</v>
      </c>
      <c r="J313" s="24" t="n">
        <v>0</v>
      </c>
      <c r="K313" s="24" t="n">
        <v>5</v>
      </c>
      <c r="L313" s="24" t="n">
        <v>0</v>
      </c>
      <c r="M313" s="24" t="n">
        <v>9</v>
      </c>
      <c r="N313" s="24" t="n">
        <v>14</v>
      </c>
      <c r="O313" s="24" t="n">
        <v>0</v>
      </c>
      <c r="P313" s="24" t="n">
        <v>0</v>
      </c>
      <c r="Q313" s="24" t="n">
        <v>0</v>
      </c>
      <c r="R313" s="24" t="n">
        <v>0</v>
      </c>
      <c r="S313" s="24" t="n">
        <v>0</v>
      </c>
      <c r="T313" s="24" t="n">
        <v>16</v>
      </c>
      <c r="U313" s="24" t="n">
        <v>16</v>
      </c>
      <c r="V313" s="24" t="n">
        <v>30</v>
      </c>
      <c r="W313" s="24" t="n">
        <f aca="false">N313+U313</f>
        <v>30</v>
      </c>
      <c r="X313" s="32" t="n">
        <f aca="false">IF(V313&gt;0,W313/V313,0)</f>
        <v>1</v>
      </c>
      <c r="Y313" s="9"/>
    </row>
    <row r="314" customFormat="false" ht="15" hidden="false" customHeight="false" outlineLevel="0" collapsed="false">
      <c r="A314" s="25" t="n">
        <v>2025</v>
      </c>
      <c r="B314" s="9" t="s">
        <v>264</v>
      </c>
      <c r="C314" s="9" t="s">
        <v>203</v>
      </c>
      <c r="D314" s="9" t="str">
        <f aca="false">INDEX(Lookups!$C$5:$C$75,MATCH($C314,Lookups!$A$5:$A$75,0))</f>
        <v>Europe</v>
      </c>
      <c r="E314" s="9" t="str">
        <f aca="false">INDEX(Lookups!$D$5:$D$75,MATCH($C314,Lookups!$A$5:$A$75,0))</f>
        <v>Europe</v>
      </c>
      <c r="F314" s="9" t="str">
        <f aca="false">IF($D314="Latin America &amp; Caribbean","Yes","No")</f>
        <v>No</v>
      </c>
      <c r="G314" s="9" t="str">
        <f aca="false">IF($C314="VEN","In-country record","Abroad")</f>
        <v>Abroad</v>
      </c>
      <c r="H314" s="24" t="n">
        <v>0</v>
      </c>
      <c r="I314" s="24" t="n">
        <v>0</v>
      </c>
      <c r="J314" s="24" t="n">
        <v>0</v>
      </c>
      <c r="K314" s="24" t="n">
        <v>5</v>
      </c>
      <c r="L314" s="24" t="n">
        <v>5</v>
      </c>
      <c r="M314" s="24" t="n">
        <v>0</v>
      </c>
      <c r="N314" s="24" t="n">
        <v>10</v>
      </c>
      <c r="O314" s="24" t="n">
        <v>0</v>
      </c>
      <c r="P314" s="24" t="n">
        <v>0</v>
      </c>
      <c r="Q314" s="24" t="n">
        <v>0</v>
      </c>
      <c r="R314" s="24" t="n">
        <v>0</v>
      </c>
      <c r="S314" s="24" t="n">
        <v>0</v>
      </c>
      <c r="T314" s="24" t="n">
        <v>0</v>
      </c>
      <c r="U314" s="24" t="n">
        <v>0</v>
      </c>
      <c r="V314" s="24" t="n">
        <v>10</v>
      </c>
      <c r="W314" s="24" t="n">
        <f aca="false">N314+U314</f>
        <v>10</v>
      </c>
      <c r="X314" s="32" t="n">
        <f aca="false">IF(V314&gt;0,W314/V314,0)</f>
        <v>1</v>
      </c>
      <c r="Y314" s="9"/>
    </row>
    <row r="315" customFormat="false" ht="15" hidden="false" customHeight="false" outlineLevel="0" collapsed="false">
      <c r="A315" s="25" t="n">
        <v>2025</v>
      </c>
      <c r="B315" s="9" t="s">
        <v>265</v>
      </c>
      <c r="C315" s="9" t="s">
        <v>164</v>
      </c>
      <c r="D315" s="9" t="str">
        <f aca="false">INDEX(Lookups!$C$5:$C$75,MATCH($C315,Lookups!$A$5:$A$75,0))</f>
        <v>Latin America &amp; Caribbean</v>
      </c>
      <c r="E315" s="9" t="str">
        <f aca="false">INDEX(Lookups!$D$5:$D$75,MATCH($C315,Lookups!$A$5:$A$75,0))</f>
        <v>Caribbean &amp; Guianas</v>
      </c>
      <c r="F315" s="9" t="str">
        <f aca="false">IF($D315="Latin America &amp; Caribbean","Yes","No")</f>
        <v>Yes</v>
      </c>
      <c r="G315" s="9" t="str">
        <f aca="false">IF($C315="VEN","In-country record","Abroad")</f>
        <v>Abroad</v>
      </c>
      <c r="H315" s="24" t="n">
        <v>0</v>
      </c>
      <c r="I315" s="24" t="n">
        <v>0</v>
      </c>
      <c r="J315" s="24" t="n">
        <v>0</v>
      </c>
      <c r="K315" s="24" t="n">
        <v>0</v>
      </c>
      <c r="L315" s="24" t="n">
        <v>0</v>
      </c>
      <c r="M315" s="24" t="n">
        <v>0</v>
      </c>
      <c r="N315" s="24" t="n">
        <v>0</v>
      </c>
      <c r="O315" s="24" t="n">
        <v>0</v>
      </c>
      <c r="P315" s="24" t="n">
        <v>0</v>
      </c>
      <c r="Q315" s="24" t="n">
        <v>0</v>
      </c>
      <c r="R315" s="24" t="n">
        <v>0</v>
      </c>
      <c r="S315" s="24" t="n">
        <v>0</v>
      </c>
      <c r="T315" s="24" t="n">
        <v>0</v>
      </c>
      <c r="U315" s="24" t="n">
        <v>0</v>
      </c>
      <c r="V315" s="24" t="n">
        <v>99692</v>
      </c>
      <c r="W315" s="24" t="n">
        <f aca="false">N315+U315</f>
        <v>0</v>
      </c>
      <c r="X315" s="32" t="n">
        <f aca="false">IF(V315&gt;0,W315/V315,0)</f>
        <v>0</v>
      </c>
      <c r="Y315" s="9" t="s">
        <v>248</v>
      </c>
    </row>
    <row r="316" customFormat="false" ht="15" hidden="false" customHeight="false" outlineLevel="0" collapsed="false">
      <c r="A316" s="25" t="n">
        <v>2025</v>
      </c>
      <c r="B316" s="9" t="s">
        <v>266</v>
      </c>
      <c r="C316" s="9" t="s">
        <v>159</v>
      </c>
      <c r="D316" s="9" t="str">
        <f aca="false">INDEX(Lookups!$C$5:$C$75,MATCH($C316,Lookups!$A$5:$A$75,0))</f>
        <v>Latin America &amp; Caribbean</v>
      </c>
      <c r="E316" s="9" t="str">
        <f aca="false">INDEX(Lookups!$D$5:$D$75,MATCH($C316,Lookups!$A$5:$A$75,0))</f>
        <v>Andean region</v>
      </c>
      <c r="F316" s="9" t="str">
        <f aca="false">IF($D316="Latin America &amp; Caribbean","Yes","No")</f>
        <v>Yes</v>
      </c>
      <c r="G316" s="9" t="str">
        <f aca="false">IF($C316="VEN","In-country record","Abroad")</f>
        <v>Abroad</v>
      </c>
      <c r="H316" s="24" t="n">
        <v>7891</v>
      </c>
      <c r="I316" s="24" t="n">
        <v>31978</v>
      </c>
      <c r="J316" s="24" t="n">
        <v>21614</v>
      </c>
      <c r="K316" s="24" t="n">
        <v>158270</v>
      </c>
      <c r="L316" s="24" t="n">
        <v>9133</v>
      </c>
      <c r="M316" s="24" t="n">
        <v>0</v>
      </c>
      <c r="N316" s="24" t="n">
        <v>228886</v>
      </c>
      <c r="O316" s="24" t="n">
        <v>8144</v>
      </c>
      <c r="P316" s="24" t="n">
        <v>34178</v>
      </c>
      <c r="Q316" s="24" t="n">
        <v>22692</v>
      </c>
      <c r="R316" s="24" t="n">
        <v>142082</v>
      </c>
      <c r="S316" s="24" t="n">
        <v>5081</v>
      </c>
      <c r="T316" s="24" t="n">
        <v>0</v>
      </c>
      <c r="U316" s="24" t="n">
        <v>212177</v>
      </c>
      <c r="V316" s="24" t="n">
        <v>441063</v>
      </c>
      <c r="W316" s="24" t="n">
        <f aca="false">N316+U316</f>
        <v>441063</v>
      </c>
      <c r="X316" s="32" t="n">
        <f aca="false">IF(V316&gt;0,W316/V316,0)</f>
        <v>1</v>
      </c>
      <c r="Y316" s="9"/>
    </row>
    <row r="317" customFormat="false" ht="15" hidden="false" customHeight="false" outlineLevel="0" collapsed="false">
      <c r="A317" s="25" t="n">
        <v>2025</v>
      </c>
      <c r="B317" s="9" t="s">
        <v>267</v>
      </c>
      <c r="C317" s="9" t="s">
        <v>197</v>
      </c>
      <c r="D317" s="9" t="str">
        <f aca="false">INDEX(Lookups!$C$5:$C$75,MATCH($C317,Lookups!$A$5:$A$75,0))</f>
        <v>Latin America &amp; Caribbean</v>
      </c>
      <c r="E317" s="9" t="str">
        <f aca="false">INDEX(Lookups!$D$5:$D$75,MATCH($C317,Lookups!$A$5:$A$75,0))</f>
        <v>Central America &amp; Mexico</v>
      </c>
      <c r="F317" s="9" t="str">
        <f aca="false">IF($D317="Latin America &amp; Caribbean","Yes","No")</f>
        <v>Yes</v>
      </c>
      <c r="G317" s="9" t="str">
        <f aca="false">IF($C317="VEN","In-country record","Abroad")</f>
        <v>Abroad</v>
      </c>
      <c r="H317" s="24" t="n">
        <v>0</v>
      </c>
      <c r="I317" s="24" t="n">
        <v>0</v>
      </c>
      <c r="J317" s="24" t="n">
        <v>5</v>
      </c>
      <c r="K317" s="24" t="n">
        <v>9</v>
      </c>
      <c r="L317" s="24" t="n">
        <v>0</v>
      </c>
      <c r="M317" s="24" t="n">
        <v>0</v>
      </c>
      <c r="N317" s="24" t="n">
        <v>14</v>
      </c>
      <c r="O317" s="24" t="n">
        <v>0</v>
      </c>
      <c r="P317" s="24" t="n">
        <v>0</v>
      </c>
      <c r="Q317" s="24" t="n">
        <v>0</v>
      </c>
      <c r="R317" s="24" t="n">
        <v>30</v>
      </c>
      <c r="S317" s="24" t="n">
        <v>0</v>
      </c>
      <c r="T317" s="24" t="n">
        <v>0</v>
      </c>
      <c r="U317" s="24" t="n">
        <v>30</v>
      </c>
      <c r="V317" s="24" t="n">
        <v>44</v>
      </c>
      <c r="W317" s="24" t="n">
        <f aca="false">N317+U317</f>
        <v>44</v>
      </c>
      <c r="X317" s="32" t="n">
        <f aca="false">IF(V317&gt;0,W317/V317,0)</f>
        <v>1</v>
      </c>
      <c r="Y317" s="9"/>
    </row>
    <row r="318" customFormat="false" ht="15" hidden="false" customHeight="false" outlineLevel="0" collapsed="false">
      <c r="A318" s="25" t="n">
        <v>2025</v>
      </c>
      <c r="B318" s="9" t="s">
        <v>268</v>
      </c>
      <c r="C318" s="9" t="s">
        <v>198</v>
      </c>
      <c r="D318" s="9" t="str">
        <f aca="false">INDEX(Lookups!$C$5:$C$75,MATCH($C318,Lookups!$A$5:$A$75,0))</f>
        <v>Europe</v>
      </c>
      <c r="E318" s="9" t="str">
        <f aca="false">INDEX(Lookups!$D$5:$D$75,MATCH($C318,Lookups!$A$5:$A$75,0))</f>
        <v>Europe</v>
      </c>
      <c r="F318" s="9" t="str">
        <f aca="false">IF($D318="Latin America &amp; Caribbean","Yes","No")</f>
        <v>No</v>
      </c>
      <c r="G318" s="9" t="str">
        <f aca="false">IF($C318="VEN","In-country record","Abroad")</f>
        <v>Abroad</v>
      </c>
      <c r="H318" s="24" t="n">
        <v>0</v>
      </c>
      <c r="I318" s="24" t="n">
        <v>0</v>
      </c>
      <c r="J318" s="24" t="n">
        <v>5</v>
      </c>
      <c r="K318" s="24" t="n">
        <v>17</v>
      </c>
      <c r="L318" s="24" t="n">
        <v>0</v>
      </c>
      <c r="M318" s="24" t="n">
        <v>0</v>
      </c>
      <c r="N318" s="24" t="n">
        <v>22</v>
      </c>
      <c r="O318" s="24" t="n">
        <v>0</v>
      </c>
      <c r="P318" s="24" t="n">
        <v>0</v>
      </c>
      <c r="Q318" s="24" t="n">
        <v>5</v>
      </c>
      <c r="R318" s="24" t="n">
        <v>16</v>
      </c>
      <c r="S318" s="24" t="n">
        <v>0</v>
      </c>
      <c r="T318" s="24" t="n">
        <v>0</v>
      </c>
      <c r="U318" s="24" t="n">
        <v>21</v>
      </c>
      <c r="V318" s="24" t="n">
        <v>43</v>
      </c>
      <c r="W318" s="24" t="n">
        <f aca="false">N318+U318</f>
        <v>43</v>
      </c>
      <c r="X318" s="32" t="n">
        <f aca="false">IF(V318&gt;0,W318/V318,0)</f>
        <v>1</v>
      </c>
      <c r="Y318" s="9"/>
    </row>
    <row r="319" customFormat="false" ht="15" hidden="false" customHeight="false" outlineLevel="0" collapsed="false">
      <c r="A319" s="25" t="n">
        <v>2025</v>
      </c>
      <c r="B319" s="9" t="s">
        <v>269</v>
      </c>
      <c r="C319" s="9" t="s">
        <v>179</v>
      </c>
      <c r="D319" s="9" t="str">
        <f aca="false">INDEX(Lookups!$C$5:$C$75,MATCH($C319,Lookups!$A$5:$A$75,0))</f>
        <v>Europe</v>
      </c>
      <c r="E319" s="9" t="str">
        <f aca="false">INDEX(Lookups!$D$5:$D$75,MATCH($C319,Lookups!$A$5:$A$75,0))</f>
        <v>Europe</v>
      </c>
      <c r="F319" s="9" t="str">
        <f aca="false">IF($D319="Latin America &amp; Caribbean","Yes","No")</f>
        <v>No</v>
      </c>
      <c r="G319" s="9" t="str">
        <f aca="false">IF($C319="VEN","In-country record","Abroad")</f>
        <v>Abroad</v>
      </c>
      <c r="H319" s="24" t="n">
        <v>11</v>
      </c>
      <c r="I319" s="24" t="n">
        <v>16</v>
      </c>
      <c r="J319" s="24" t="n">
        <v>18</v>
      </c>
      <c r="K319" s="24" t="n">
        <v>132</v>
      </c>
      <c r="L319" s="24" t="n">
        <v>15</v>
      </c>
      <c r="M319" s="24" t="n">
        <v>1591</v>
      </c>
      <c r="N319" s="24" t="n">
        <v>1783</v>
      </c>
      <c r="O319" s="24" t="n">
        <v>9</v>
      </c>
      <c r="P319" s="24" t="n">
        <v>14</v>
      </c>
      <c r="Q319" s="24" t="n">
        <v>17</v>
      </c>
      <c r="R319" s="24" t="n">
        <v>111</v>
      </c>
      <c r="S319" s="24" t="n">
        <v>9</v>
      </c>
      <c r="T319" s="24" t="n">
        <v>1413</v>
      </c>
      <c r="U319" s="24" t="n">
        <v>1573</v>
      </c>
      <c r="V319" s="24" t="n">
        <v>3356</v>
      </c>
      <c r="W319" s="24" t="n">
        <f aca="false">N319+U319</f>
        <v>3356</v>
      </c>
      <c r="X319" s="32" t="n">
        <f aca="false">IF(V319&gt;0,W319/V319,0)</f>
        <v>1</v>
      </c>
      <c r="Y319" s="9"/>
    </row>
    <row r="320" customFormat="false" ht="15" hidden="false" customHeight="false" outlineLevel="0" collapsed="false">
      <c r="A320" s="25" t="n">
        <v>2025</v>
      </c>
      <c r="B320" s="9" t="s">
        <v>270</v>
      </c>
      <c r="C320" s="9" t="s">
        <v>175</v>
      </c>
      <c r="D320" s="9" t="str">
        <f aca="false">INDEX(Lookups!$C$5:$C$75,MATCH($C320,Lookups!$A$5:$A$75,0))</f>
        <v>Europe</v>
      </c>
      <c r="E320" s="9" t="str">
        <f aca="false">INDEX(Lookups!$D$5:$D$75,MATCH($C320,Lookups!$A$5:$A$75,0))</f>
        <v>Europe</v>
      </c>
      <c r="F320" s="9" t="str">
        <f aca="false">IF($D320="Latin America &amp; Caribbean","Yes","No")</f>
        <v>No</v>
      </c>
      <c r="G320" s="9" t="str">
        <f aca="false">IF($C320="VEN","In-country record","Abroad")</f>
        <v>Abroad</v>
      </c>
      <c r="H320" s="24" t="n">
        <v>251</v>
      </c>
      <c r="I320" s="24" t="n">
        <v>426</v>
      </c>
      <c r="J320" s="24" t="n">
        <v>360</v>
      </c>
      <c r="K320" s="24" t="n">
        <v>2891</v>
      </c>
      <c r="L320" s="24" t="n">
        <v>369</v>
      </c>
      <c r="M320" s="24" t="n">
        <v>0</v>
      </c>
      <c r="N320" s="24" t="n">
        <v>4297</v>
      </c>
      <c r="O320" s="24" t="n">
        <v>254</v>
      </c>
      <c r="P320" s="24" t="n">
        <v>426</v>
      </c>
      <c r="Q320" s="24" t="n">
        <v>407</v>
      </c>
      <c r="R320" s="24" t="n">
        <v>3103</v>
      </c>
      <c r="S320" s="24" t="n">
        <v>179</v>
      </c>
      <c r="T320" s="24" t="n">
        <v>0</v>
      </c>
      <c r="U320" s="24" t="n">
        <v>4369</v>
      </c>
      <c r="V320" s="24" t="n">
        <v>8672</v>
      </c>
      <c r="W320" s="24" t="n">
        <f aca="false">N320+U320</f>
        <v>8666</v>
      </c>
      <c r="X320" s="32" t="n">
        <f aca="false">IF(V320&gt;0,W320/V320,0)</f>
        <v>0.999308118081181</v>
      </c>
      <c r="Y320" s="9"/>
    </row>
    <row r="321" customFormat="false" ht="15" hidden="false" customHeight="false" outlineLevel="0" collapsed="false">
      <c r="A321" s="25" t="n">
        <v>2025</v>
      </c>
      <c r="B321" s="9" t="s">
        <v>271</v>
      </c>
      <c r="C321" s="9" t="s">
        <v>199</v>
      </c>
      <c r="D321" s="9" t="str">
        <f aca="false">INDEX(Lookups!$C$5:$C$75,MATCH($C321,Lookups!$A$5:$A$75,0))</f>
        <v>Europe</v>
      </c>
      <c r="E321" s="9" t="str">
        <f aca="false">INDEX(Lookups!$D$5:$D$75,MATCH($C321,Lookups!$A$5:$A$75,0))</f>
        <v>Europe</v>
      </c>
      <c r="F321" s="9" t="str">
        <f aca="false">IF($D321="Latin America &amp; Caribbean","Yes","No")</f>
        <v>No</v>
      </c>
      <c r="G321" s="9" t="str">
        <f aca="false">IF($C321="VEN","In-country record","Abroad")</f>
        <v>Abroad</v>
      </c>
      <c r="H321" s="24" t="n">
        <v>0</v>
      </c>
      <c r="I321" s="24" t="n">
        <v>0</v>
      </c>
      <c r="J321" s="24" t="n">
        <v>5</v>
      </c>
      <c r="K321" s="24" t="n">
        <v>17</v>
      </c>
      <c r="L321" s="24" t="n">
        <v>0</v>
      </c>
      <c r="M321" s="24" t="n">
        <v>0</v>
      </c>
      <c r="N321" s="24" t="n">
        <v>22</v>
      </c>
      <c r="O321" s="24" t="n">
        <v>0</v>
      </c>
      <c r="P321" s="24" t="n">
        <v>0</v>
      </c>
      <c r="Q321" s="24" t="n">
        <v>0</v>
      </c>
      <c r="R321" s="24" t="n">
        <v>14</v>
      </c>
      <c r="S321" s="24" t="n">
        <v>0</v>
      </c>
      <c r="T321" s="24" t="n">
        <v>0</v>
      </c>
      <c r="U321" s="24" t="n">
        <v>14</v>
      </c>
      <c r="V321" s="24" t="n">
        <v>36</v>
      </c>
      <c r="W321" s="24" t="n">
        <f aca="false">N321+U321</f>
        <v>36</v>
      </c>
      <c r="X321" s="32" t="n">
        <f aca="false">IF(V321&gt;0,W321/V321,0)</f>
        <v>1</v>
      </c>
      <c r="Y321" s="9"/>
    </row>
    <row r="322" customFormat="false" ht="15" hidden="false" customHeight="false" outlineLevel="0" collapsed="false">
      <c r="A322" s="25" t="n">
        <v>2025</v>
      </c>
      <c r="B322" s="9" t="s">
        <v>273</v>
      </c>
      <c r="C322" s="9" t="s">
        <v>172</v>
      </c>
      <c r="D322" s="9" t="str">
        <f aca="false">INDEX(Lookups!$C$5:$C$75,MATCH($C322,Lookups!$A$5:$A$75,0))</f>
        <v>Latin America &amp; Caribbean</v>
      </c>
      <c r="E322" s="9" t="str">
        <f aca="false">INDEX(Lookups!$D$5:$D$75,MATCH($C322,Lookups!$A$5:$A$75,0))</f>
        <v>Central America &amp; Mexico</v>
      </c>
      <c r="F322" s="9" t="str">
        <f aca="false">IF($D322="Latin America &amp; Caribbean","Yes","No")</f>
        <v>Yes</v>
      </c>
      <c r="G322" s="9" t="str">
        <f aca="false">IF($C322="VEN","In-country record","Abroad")</f>
        <v>Abroad</v>
      </c>
      <c r="H322" s="24" t="n">
        <v>241</v>
      </c>
      <c r="I322" s="24" t="n">
        <v>279</v>
      </c>
      <c r="J322" s="24" t="n">
        <v>1393</v>
      </c>
      <c r="K322" s="24" t="n">
        <v>4668</v>
      </c>
      <c r="L322" s="24" t="n">
        <v>35</v>
      </c>
      <c r="M322" s="24" t="n">
        <v>0</v>
      </c>
      <c r="N322" s="24" t="n">
        <v>6616</v>
      </c>
      <c r="O322" s="24" t="n">
        <v>286</v>
      </c>
      <c r="P322" s="24" t="n">
        <v>372</v>
      </c>
      <c r="Q322" s="24" t="n">
        <v>1827</v>
      </c>
      <c r="R322" s="24" t="n">
        <v>6117</v>
      </c>
      <c r="S322" s="24" t="n">
        <v>12</v>
      </c>
      <c r="T322" s="24" t="n">
        <v>0</v>
      </c>
      <c r="U322" s="24" t="n">
        <v>8614</v>
      </c>
      <c r="V322" s="24" t="n">
        <v>15230</v>
      </c>
      <c r="W322" s="24" t="n">
        <f aca="false">N322+U322</f>
        <v>15230</v>
      </c>
      <c r="X322" s="32" t="n">
        <f aca="false">IF(V322&gt;0,W322/V322,0)</f>
        <v>1</v>
      </c>
      <c r="Y322" s="9" t="s">
        <v>319</v>
      </c>
    </row>
    <row r="323" customFormat="false" ht="15" hidden="false" customHeight="false" outlineLevel="0" collapsed="false">
      <c r="A323" s="25" t="n">
        <v>2025</v>
      </c>
      <c r="B323" s="9" t="s">
        <v>274</v>
      </c>
      <c r="C323" s="9" t="s">
        <v>169</v>
      </c>
      <c r="D323" s="9" t="str">
        <f aca="false">INDEX(Lookups!$C$5:$C$75,MATCH($C323,Lookups!$A$5:$A$75,0))</f>
        <v>Latin America &amp; Caribbean</v>
      </c>
      <c r="E323" s="9" t="str">
        <f aca="false">INDEX(Lookups!$D$5:$D$75,MATCH($C323,Lookups!$A$5:$A$75,0))</f>
        <v>Caribbean &amp; Guianas</v>
      </c>
      <c r="F323" s="9" t="str">
        <f aca="false">IF($D323="Latin America &amp; Caribbean","Yes","No")</f>
        <v>Yes</v>
      </c>
      <c r="G323" s="9" t="str">
        <f aca="false">IF($C323="VEN","In-country record","Abroad")</f>
        <v>Abroad</v>
      </c>
      <c r="H323" s="24" t="n">
        <v>0</v>
      </c>
      <c r="I323" s="24" t="n">
        <v>5</v>
      </c>
      <c r="J323" s="24" t="n">
        <v>0</v>
      </c>
      <c r="K323" s="24" t="n">
        <v>0</v>
      </c>
      <c r="L323" s="24" t="n">
        <v>0</v>
      </c>
      <c r="M323" s="24" t="n">
        <v>0</v>
      </c>
      <c r="N323" s="24" t="n">
        <v>5</v>
      </c>
      <c r="O323" s="24" t="n">
        <v>0</v>
      </c>
      <c r="P323" s="24" t="n">
        <v>0</v>
      </c>
      <c r="Q323" s="24" t="n">
        <v>0</v>
      </c>
      <c r="R323" s="24" t="n">
        <v>7</v>
      </c>
      <c r="S323" s="24" t="n">
        <v>0</v>
      </c>
      <c r="T323" s="24" t="n">
        <v>23401</v>
      </c>
      <c r="U323" s="24" t="n">
        <v>23408</v>
      </c>
      <c r="V323" s="24" t="n">
        <v>23413</v>
      </c>
      <c r="W323" s="24" t="n">
        <f aca="false">N323+U323</f>
        <v>23413</v>
      </c>
      <c r="X323" s="32" t="n">
        <f aca="false">IF(V323&gt;0,W323/V323,0)</f>
        <v>1</v>
      </c>
      <c r="Y323" s="9"/>
    </row>
    <row r="324" customFormat="false" ht="15" hidden="false" customHeight="false" outlineLevel="0" collapsed="false">
      <c r="A324" s="25" t="n">
        <v>2025</v>
      </c>
      <c r="B324" s="9" t="s">
        <v>275</v>
      </c>
      <c r="C324" s="9" t="s">
        <v>170</v>
      </c>
      <c r="D324" s="9" t="str">
        <f aca="false">INDEX(Lookups!$C$5:$C$75,MATCH($C324,Lookups!$A$5:$A$75,0))</f>
        <v>Latin America &amp; Caribbean</v>
      </c>
      <c r="E324" s="9" t="str">
        <f aca="false">INDEX(Lookups!$D$5:$D$75,MATCH($C324,Lookups!$A$5:$A$75,0))</f>
        <v>Central America &amp; Mexico</v>
      </c>
      <c r="F324" s="9" t="str">
        <f aca="false">IF($D324="Latin America &amp; Caribbean","Yes","No")</f>
        <v>Yes</v>
      </c>
      <c r="G324" s="9" t="str">
        <f aca="false">IF($C324="VEN","In-country record","Abroad")</f>
        <v>Abroad</v>
      </c>
      <c r="H324" s="24" t="n">
        <v>0</v>
      </c>
      <c r="I324" s="24" t="n">
        <v>6</v>
      </c>
      <c r="J324" s="24" t="n">
        <v>7</v>
      </c>
      <c r="K324" s="24" t="n">
        <v>15</v>
      </c>
      <c r="L324" s="24" t="n">
        <v>0</v>
      </c>
      <c r="M324" s="24" t="n">
        <v>0</v>
      </c>
      <c r="N324" s="24" t="n">
        <v>28</v>
      </c>
      <c r="O324" s="24" t="n">
        <v>5</v>
      </c>
      <c r="P324" s="24" t="n">
        <v>8</v>
      </c>
      <c r="Q324" s="24" t="n">
        <v>0</v>
      </c>
      <c r="R324" s="24" t="n">
        <v>30</v>
      </c>
      <c r="S324" s="24" t="n">
        <v>0</v>
      </c>
      <c r="T324" s="24" t="n">
        <v>0</v>
      </c>
      <c r="U324" s="24" t="n">
        <v>43</v>
      </c>
      <c r="V324" s="24" t="n">
        <v>19241</v>
      </c>
      <c r="W324" s="24" t="n">
        <f aca="false">N324+U324</f>
        <v>71</v>
      </c>
      <c r="X324" s="32" t="n">
        <f aca="false">IF(V324&gt;0,W324/V324,0)</f>
        <v>0.003690036900369</v>
      </c>
      <c r="Y324" s="9" t="s">
        <v>320</v>
      </c>
    </row>
    <row r="325" customFormat="false" ht="15" hidden="false" customHeight="false" outlineLevel="0" collapsed="false">
      <c r="A325" s="25" t="n">
        <v>2025</v>
      </c>
      <c r="B325" s="9" t="s">
        <v>276</v>
      </c>
      <c r="C325" s="9" t="s">
        <v>180</v>
      </c>
      <c r="D325" s="9" t="str">
        <f aca="false">INDEX(Lookups!$C$5:$C$75,MATCH($C325,Lookups!$A$5:$A$75,0))</f>
        <v>Europe</v>
      </c>
      <c r="E325" s="9" t="str">
        <f aca="false">INDEX(Lookups!$D$5:$D$75,MATCH($C325,Lookups!$A$5:$A$75,0))</f>
        <v>Europe</v>
      </c>
      <c r="F325" s="9" t="str">
        <f aca="false">IF($D325="Latin America &amp; Caribbean","Yes","No")</f>
        <v>No</v>
      </c>
      <c r="G325" s="9" t="str">
        <f aca="false">IF($C325="VEN","In-country record","Abroad")</f>
        <v>Abroad</v>
      </c>
      <c r="H325" s="24" t="n">
        <v>0</v>
      </c>
      <c r="I325" s="24" t="n">
        <v>0</v>
      </c>
      <c r="J325" s="24" t="n">
        <v>0</v>
      </c>
      <c r="K325" s="24" t="n">
        <v>0</v>
      </c>
      <c r="L325" s="24" t="n">
        <v>0</v>
      </c>
      <c r="M325" s="24" t="n">
        <v>594</v>
      </c>
      <c r="N325" s="24" t="n">
        <v>594</v>
      </c>
      <c r="O325" s="24" t="n">
        <v>0</v>
      </c>
      <c r="P325" s="24" t="n">
        <v>0</v>
      </c>
      <c r="Q325" s="24" t="n">
        <v>0</v>
      </c>
      <c r="R325" s="24" t="n">
        <v>0</v>
      </c>
      <c r="S325" s="24" t="n">
        <v>0</v>
      </c>
      <c r="T325" s="24" t="n">
        <v>686</v>
      </c>
      <c r="U325" s="24" t="n">
        <v>686</v>
      </c>
      <c r="V325" s="24" t="n">
        <v>1414</v>
      </c>
      <c r="W325" s="24" t="n">
        <f aca="false">N325+U325</f>
        <v>1280</v>
      </c>
      <c r="X325" s="32" t="n">
        <f aca="false">IF(V325&gt;0,W325/V325,0)</f>
        <v>0.905233380480905</v>
      </c>
      <c r="Y325" s="9"/>
    </row>
    <row r="326" customFormat="false" ht="15" hidden="false" customHeight="false" outlineLevel="0" collapsed="false">
      <c r="A326" s="25" t="n">
        <v>2025</v>
      </c>
      <c r="B326" s="9" t="s">
        <v>277</v>
      </c>
      <c r="C326" s="9" t="s">
        <v>202</v>
      </c>
      <c r="D326" s="9" t="str">
        <f aca="false">INDEX(Lookups!$C$5:$C$75,MATCH($C326,Lookups!$A$5:$A$75,0))</f>
        <v>Other regions</v>
      </c>
      <c r="E326" s="9" t="str">
        <f aca="false">INDEX(Lookups!$D$5:$D$75,MATCH($C326,Lookups!$A$5:$A$75,0))</f>
        <v>Rest of world</v>
      </c>
      <c r="F326" s="9" t="str">
        <f aca="false">IF($D326="Latin America &amp; Caribbean","Yes","No")</f>
        <v>No</v>
      </c>
      <c r="G326" s="9" t="str">
        <f aca="false">IF($C326="VEN","In-country record","Abroad")</f>
        <v>Abroad</v>
      </c>
      <c r="H326" s="24" t="n">
        <v>0</v>
      </c>
      <c r="I326" s="24" t="n">
        <v>0</v>
      </c>
      <c r="J326" s="24" t="n">
        <v>0</v>
      </c>
      <c r="K326" s="24" t="n">
        <v>5</v>
      </c>
      <c r="L326" s="24" t="n">
        <v>5</v>
      </c>
      <c r="M326" s="24" t="n">
        <v>0</v>
      </c>
      <c r="N326" s="24" t="n">
        <v>10</v>
      </c>
      <c r="O326" s="24" t="n">
        <v>0</v>
      </c>
      <c r="P326" s="24" t="n">
        <v>0</v>
      </c>
      <c r="Q326" s="24" t="n">
        <v>0</v>
      </c>
      <c r="R326" s="24" t="n">
        <v>0</v>
      </c>
      <c r="S326" s="24" t="n">
        <v>0</v>
      </c>
      <c r="T326" s="24" t="n">
        <v>0</v>
      </c>
      <c r="U326" s="24" t="n">
        <v>0</v>
      </c>
      <c r="V326" s="24" t="n">
        <v>10</v>
      </c>
      <c r="W326" s="24" t="n">
        <f aca="false">N326+U326</f>
        <v>10</v>
      </c>
      <c r="X326" s="32" t="n">
        <f aca="false">IF(V326&gt;0,W326/V326,0)</f>
        <v>1</v>
      </c>
      <c r="Y326" s="9"/>
    </row>
    <row r="327" customFormat="false" ht="15" hidden="false" customHeight="false" outlineLevel="0" collapsed="false">
      <c r="A327" s="25" t="n">
        <v>2025</v>
      </c>
      <c r="B327" s="9" t="s">
        <v>279</v>
      </c>
      <c r="C327" s="9" t="s">
        <v>190</v>
      </c>
      <c r="D327" s="9" t="str">
        <f aca="false">INDEX(Lookups!$C$5:$C$75,MATCH($C327,Lookups!$A$5:$A$75,0))</f>
        <v>Europe</v>
      </c>
      <c r="E327" s="9" t="str">
        <f aca="false">INDEX(Lookups!$D$5:$D$75,MATCH($C327,Lookups!$A$5:$A$75,0))</f>
        <v>Europe</v>
      </c>
      <c r="F327" s="9" t="str">
        <f aca="false">IF($D327="Latin America &amp; Caribbean","Yes","No")</f>
        <v>No</v>
      </c>
      <c r="G327" s="9" t="str">
        <f aca="false">IF($C327="VEN","In-country record","Abroad")</f>
        <v>Abroad</v>
      </c>
      <c r="H327" s="24" t="n">
        <v>0</v>
      </c>
      <c r="I327" s="24" t="n">
        <v>5</v>
      </c>
      <c r="J327" s="24" t="n">
        <v>5</v>
      </c>
      <c r="K327" s="24" t="n">
        <v>62</v>
      </c>
      <c r="L327" s="24" t="n">
        <v>19</v>
      </c>
      <c r="M327" s="24" t="n">
        <v>0</v>
      </c>
      <c r="N327" s="24" t="n">
        <v>91</v>
      </c>
      <c r="O327" s="24" t="n">
        <v>0</v>
      </c>
      <c r="P327" s="24" t="n">
        <v>5</v>
      </c>
      <c r="Q327" s="24" t="n">
        <v>0</v>
      </c>
      <c r="R327" s="24" t="n">
        <v>77</v>
      </c>
      <c r="S327" s="24" t="n">
        <v>5</v>
      </c>
      <c r="T327" s="24" t="n">
        <v>0</v>
      </c>
      <c r="U327" s="24" t="n">
        <v>87</v>
      </c>
      <c r="V327" s="24" t="n">
        <v>178</v>
      </c>
      <c r="W327" s="24" t="n">
        <f aca="false">N327+U327</f>
        <v>178</v>
      </c>
      <c r="X327" s="32" t="n">
        <f aca="false">IF(V327&gt;0,W327/V327,0)</f>
        <v>1</v>
      </c>
      <c r="Y327" s="9"/>
    </row>
    <row r="328" customFormat="false" ht="15" hidden="false" customHeight="false" outlineLevel="0" collapsed="false">
      <c r="A328" s="25" t="n">
        <v>2025</v>
      </c>
      <c r="B328" s="9" t="s">
        <v>281</v>
      </c>
      <c r="C328" s="9" t="s">
        <v>174</v>
      </c>
      <c r="D328" s="9" t="str">
        <f aca="false">INDEX(Lookups!$C$5:$C$75,MATCH($C328,Lookups!$A$5:$A$75,0))</f>
        <v>Europe</v>
      </c>
      <c r="E328" s="9" t="str">
        <f aca="false">INDEX(Lookups!$D$5:$D$75,MATCH($C328,Lookups!$A$5:$A$75,0))</f>
        <v>Europe</v>
      </c>
      <c r="F328" s="9" t="str">
        <f aca="false">IF($D328="Latin America &amp; Caribbean","Yes","No")</f>
        <v>No</v>
      </c>
      <c r="G328" s="9" t="str">
        <f aca="false">IF($C328="VEN","In-country record","Abroad")</f>
        <v>Abroad</v>
      </c>
      <c r="H328" s="24" t="n">
        <v>158</v>
      </c>
      <c r="I328" s="24" t="n">
        <v>246</v>
      </c>
      <c r="J328" s="24" t="n">
        <v>193</v>
      </c>
      <c r="K328" s="24" t="n">
        <v>3194</v>
      </c>
      <c r="L328" s="24" t="n">
        <v>156</v>
      </c>
      <c r="M328" s="24" t="n">
        <v>0</v>
      </c>
      <c r="N328" s="24" t="n">
        <v>3947</v>
      </c>
      <c r="O328" s="24" t="n">
        <v>152</v>
      </c>
      <c r="P328" s="24" t="n">
        <v>218</v>
      </c>
      <c r="Q328" s="24" t="n">
        <v>265</v>
      </c>
      <c r="R328" s="24" t="n">
        <v>4360</v>
      </c>
      <c r="S328" s="24" t="n">
        <v>79</v>
      </c>
      <c r="T328" s="24" t="n">
        <v>0</v>
      </c>
      <c r="U328" s="24" t="n">
        <v>5074</v>
      </c>
      <c r="V328" s="24" t="n">
        <v>9021</v>
      </c>
      <c r="W328" s="24" t="n">
        <f aca="false">N328+U328</f>
        <v>9021</v>
      </c>
      <c r="X328" s="32" t="n">
        <f aca="false">IF(V328&gt;0,W328/V328,0)</f>
        <v>1</v>
      </c>
      <c r="Y328" s="9"/>
    </row>
    <row r="329" customFormat="false" ht="15" hidden="false" customHeight="false" outlineLevel="0" collapsed="false">
      <c r="A329" s="25" t="n">
        <v>2025</v>
      </c>
      <c r="B329" s="9" t="s">
        <v>332</v>
      </c>
      <c r="C329" s="9" t="s">
        <v>208</v>
      </c>
      <c r="D329" s="9" t="str">
        <f aca="false">INDEX(Lookups!$C$5:$C$75,MATCH($C329,Lookups!$A$5:$A$75,0))</f>
        <v>Europe</v>
      </c>
      <c r="E329" s="9" t="str">
        <f aca="false">INDEX(Lookups!$D$5:$D$75,MATCH($C329,Lookups!$A$5:$A$75,0))</f>
        <v>Europe</v>
      </c>
      <c r="F329" s="9" t="str">
        <f aca="false">IF($D329="Latin America &amp; Caribbean","Yes","No")</f>
        <v>No</v>
      </c>
      <c r="G329" s="9" t="str">
        <f aca="false">IF($C329="VEN","In-country record","Abroad")</f>
        <v>Abroad</v>
      </c>
      <c r="H329" s="24" t="n">
        <v>0</v>
      </c>
      <c r="I329" s="24" t="n">
        <v>0</v>
      </c>
      <c r="J329" s="24" t="n">
        <v>0</v>
      </c>
      <c r="K329" s="24" t="n">
        <v>0</v>
      </c>
      <c r="L329" s="24" t="n">
        <v>0</v>
      </c>
      <c r="M329" s="24" t="n">
        <v>0</v>
      </c>
      <c r="N329" s="24" t="n">
        <v>0</v>
      </c>
      <c r="O329" s="24" t="n">
        <v>0</v>
      </c>
      <c r="P329" s="24" t="n">
        <v>0</v>
      </c>
      <c r="Q329" s="24" t="n">
        <v>0</v>
      </c>
      <c r="R329" s="24" t="n">
        <v>0</v>
      </c>
      <c r="S329" s="24" t="n">
        <v>0</v>
      </c>
      <c r="T329" s="24" t="n">
        <v>5</v>
      </c>
      <c r="U329" s="24" t="n">
        <v>5</v>
      </c>
      <c r="V329" s="24" t="n">
        <v>5</v>
      </c>
      <c r="W329" s="24" t="n">
        <f aca="false">N329+U329</f>
        <v>5</v>
      </c>
      <c r="X329" s="32" t="n">
        <f aca="false">IF(V329&gt;0,W329/V329,0)</f>
        <v>1</v>
      </c>
      <c r="Y329" s="9"/>
    </row>
    <row r="330" customFormat="false" ht="15" hidden="false" customHeight="false" outlineLevel="0" collapsed="false">
      <c r="A330" s="25" t="n">
        <v>2025</v>
      </c>
      <c r="B330" s="9" t="s">
        <v>285</v>
      </c>
      <c r="C330" s="9" t="s">
        <v>186</v>
      </c>
      <c r="D330" s="9" t="str">
        <f aca="false">INDEX(Lookups!$C$5:$C$75,MATCH($C330,Lookups!$A$5:$A$75,0))</f>
        <v>Europe</v>
      </c>
      <c r="E330" s="9" t="str">
        <f aca="false">INDEX(Lookups!$D$5:$D$75,MATCH($C330,Lookups!$A$5:$A$75,0))</f>
        <v>Europe</v>
      </c>
      <c r="F330" s="9" t="str">
        <f aca="false">IF($D330="Latin America &amp; Caribbean","Yes","No")</f>
        <v>No</v>
      </c>
      <c r="G330" s="9" t="str">
        <f aca="false">IF($C330="VEN","In-country record","Abroad")</f>
        <v>Abroad</v>
      </c>
      <c r="H330" s="24" t="n">
        <v>16</v>
      </c>
      <c r="I330" s="24" t="n">
        <v>10</v>
      </c>
      <c r="J330" s="24" t="n">
        <v>6</v>
      </c>
      <c r="K330" s="24" t="n">
        <v>91</v>
      </c>
      <c r="L330" s="24" t="n">
        <v>6</v>
      </c>
      <c r="M330" s="24" t="n">
        <v>0</v>
      </c>
      <c r="N330" s="24" t="n">
        <v>129</v>
      </c>
      <c r="O330" s="24" t="n">
        <v>7</v>
      </c>
      <c r="P330" s="24" t="n">
        <v>14</v>
      </c>
      <c r="Q330" s="24" t="n">
        <v>16</v>
      </c>
      <c r="R330" s="24" t="n">
        <v>102</v>
      </c>
      <c r="S330" s="24" t="n">
        <v>7</v>
      </c>
      <c r="T330" s="24" t="n">
        <v>0</v>
      </c>
      <c r="U330" s="24" t="n">
        <v>146</v>
      </c>
      <c r="V330" s="24" t="n">
        <v>275</v>
      </c>
      <c r="W330" s="24" t="n">
        <f aca="false">N330+U330</f>
        <v>275</v>
      </c>
      <c r="X330" s="32" t="n">
        <f aca="false">IF(V330&gt;0,W330/V330,0)</f>
        <v>1</v>
      </c>
      <c r="Y330" s="9"/>
    </row>
    <row r="331" customFormat="false" ht="15" hidden="false" customHeight="false" outlineLevel="0" collapsed="false">
      <c r="A331" s="25" t="n">
        <v>2025</v>
      </c>
      <c r="B331" s="9" t="s">
        <v>286</v>
      </c>
      <c r="C331" s="9" t="s">
        <v>194</v>
      </c>
      <c r="D331" s="9" t="str">
        <f aca="false">INDEX(Lookups!$C$5:$C$75,MATCH($C331,Lookups!$A$5:$A$75,0))</f>
        <v>Europe</v>
      </c>
      <c r="E331" s="9" t="str">
        <f aca="false">INDEX(Lookups!$D$5:$D$75,MATCH($C331,Lookups!$A$5:$A$75,0))</f>
        <v>Europe</v>
      </c>
      <c r="F331" s="9" t="str">
        <f aca="false">IF($D331="Latin America &amp; Caribbean","Yes","No")</f>
        <v>No</v>
      </c>
      <c r="G331" s="9" t="str">
        <f aca="false">IF($C331="VEN","In-country record","Abroad")</f>
        <v>Abroad</v>
      </c>
      <c r="H331" s="24" t="n">
        <v>0</v>
      </c>
      <c r="I331" s="24" t="n">
        <v>6</v>
      </c>
      <c r="J331" s="24" t="n">
        <v>0</v>
      </c>
      <c r="K331" s="24" t="n">
        <v>27</v>
      </c>
      <c r="L331" s="24" t="n">
        <v>7</v>
      </c>
      <c r="M331" s="24" t="n">
        <v>0</v>
      </c>
      <c r="N331" s="24" t="n">
        <v>40</v>
      </c>
      <c r="O331" s="24" t="n">
        <v>0</v>
      </c>
      <c r="P331" s="24" t="n">
        <v>7</v>
      </c>
      <c r="Q331" s="24" t="n">
        <v>0</v>
      </c>
      <c r="R331" s="24" t="n">
        <v>18</v>
      </c>
      <c r="S331" s="24" t="n">
        <v>0</v>
      </c>
      <c r="T331" s="24" t="n">
        <v>0</v>
      </c>
      <c r="U331" s="24" t="n">
        <v>25</v>
      </c>
      <c r="V331" s="24" t="n">
        <v>65</v>
      </c>
      <c r="W331" s="24" t="n">
        <f aca="false">N331+U331</f>
        <v>65</v>
      </c>
      <c r="X331" s="32" t="n">
        <f aca="false">IF(V331&gt;0,W331/V331,0)</f>
        <v>1</v>
      </c>
      <c r="Y331" s="9"/>
    </row>
    <row r="332" customFormat="false" ht="15" hidden="false" customHeight="false" outlineLevel="0" collapsed="false">
      <c r="A332" s="25" t="n">
        <v>2025</v>
      </c>
      <c r="B332" s="9" t="s">
        <v>287</v>
      </c>
      <c r="C332" s="9" t="s">
        <v>163</v>
      </c>
      <c r="D332" s="9" t="str">
        <f aca="false">INDEX(Lookups!$C$5:$C$75,MATCH($C332,Lookups!$A$5:$A$75,0))</f>
        <v>Latin America &amp; Caribbean</v>
      </c>
      <c r="E332" s="9" t="str">
        <f aca="false">INDEX(Lookups!$D$5:$D$75,MATCH($C332,Lookups!$A$5:$A$75,0))</f>
        <v>Central America &amp; Mexico</v>
      </c>
      <c r="F332" s="9" t="str">
        <f aca="false">IF($D332="Latin America &amp; Caribbean","Yes","No")</f>
        <v>Yes</v>
      </c>
      <c r="G332" s="9" t="str">
        <f aca="false">IF($C332="VEN","In-country record","Abroad")</f>
        <v>Abroad</v>
      </c>
      <c r="H332" s="24" t="n">
        <v>707</v>
      </c>
      <c r="I332" s="24" t="n">
        <v>1939</v>
      </c>
      <c r="J332" s="24" t="n">
        <v>1280</v>
      </c>
      <c r="K332" s="24" t="n">
        <v>14662</v>
      </c>
      <c r="L332" s="24" t="n">
        <v>966</v>
      </c>
      <c r="M332" s="24" t="n">
        <v>0</v>
      </c>
      <c r="N332" s="24" t="n">
        <v>19554</v>
      </c>
      <c r="O332" s="24" t="n">
        <v>758</v>
      </c>
      <c r="P332" s="24" t="n">
        <v>2016</v>
      </c>
      <c r="Q332" s="24" t="n">
        <v>1519</v>
      </c>
      <c r="R332" s="24" t="n">
        <v>17486</v>
      </c>
      <c r="S332" s="24" t="n">
        <v>522</v>
      </c>
      <c r="T332" s="24" t="n">
        <v>0</v>
      </c>
      <c r="U332" s="24" t="n">
        <v>22301</v>
      </c>
      <c r="V332" s="24" t="n">
        <v>106015</v>
      </c>
      <c r="W332" s="24" t="n">
        <f aca="false">N332+U332</f>
        <v>41855</v>
      </c>
      <c r="X332" s="32" t="n">
        <f aca="false">IF(V332&gt;0,W332/V332,0)</f>
        <v>0.394802622270433</v>
      </c>
      <c r="Y332" s="9"/>
    </row>
    <row r="333" customFormat="false" ht="15" hidden="false" customHeight="false" outlineLevel="0" collapsed="false">
      <c r="A333" s="25" t="n">
        <v>2025</v>
      </c>
      <c r="B333" s="9" t="s">
        <v>289</v>
      </c>
      <c r="C333" s="9" t="s">
        <v>182</v>
      </c>
      <c r="D333" s="9" t="str">
        <f aca="false">INDEX(Lookups!$C$5:$C$75,MATCH($C333,Lookups!$A$5:$A$75,0))</f>
        <v>Europe</v>
      </c>
      <c r="E333" s="9" t="str">
        <f aca="false">INDEX(Lookups!$D$5:$D$75,MATCH($C333,Lookups!$A$5:$A$75,0))</f>
        <v>Europe</v>
      </c>
      <c r="F333" s="9" t="str">
        <f aca="false">IF($D333="Latin America &amp; Caribbean","Yes","No")</f>
        <v>No</v>
      </c>
      <c r="G333" s="9" t="str">
        <f aca="false">IF($C333="VEN","In-country record","Abroad")</f>
        <v>Abroad</v>
      </c>
      <c r="H333" s="24" t="n">
        <v>16</v>
      </c>
      <c r="I333" s="24" t="n">
        <v>29</v>
      </c>
      <c r="J333" s="24" t="n">
        <v>22</v>
      </c>
      <c r="K333" s="24" t="n">
        <v>182</v>
      </c>
      <c r="L333" s="24" t="n">
        <v>18</v>
      </c>
      <c r="M333" s="24" t="n">
        <v>0</v>
      </c>
      <c r="N333" s="24" t="n">
        <v>267</v>
      </c>
      <c r="O333" s="24" t="n">
        <v>14</v>
      </c>
      <c r="P333" s="24" t="n">
        <v>27</v>
      </c>
      <c r="Q333" s="24" t="n">
        <v>36</v>
      </c>
      <c r="R333" s="24" t="n">
        <v>325</v>
      </c>
      <c r="S333" s="24" t="n">
        <v>11</v>
      </c>
      <c r="T333" s="24" t="n">
        <v>0</v>
      </c>
      <c r="U333" s="24" t="n">
        <v>413</v>
      </c>
      <c r="V333" s="24" t="n">
        <v>680</v>
      </c>
      <c r="W333" s="24" t="n">
        <f aca="false">N333+U333</f>
        <v>680</v>
      </c>
      <c r="X333" s="32" t="n">
        <f aca="false">IF(V333&gt;0,W333/V333,0)</f>
        <v>1</v>
      </c>
      <c r="Y333" s="9"/>
    </row>
    <row r="334" customFormat="false" ht="15" hidden="false" customHeight="false" outlineLevel="0" collapsed="false">
      <c r="A334" s="25" t="n">
        <v>2025</v>
      </c>
      <c r="B334" s="9" t="s">
        <v>316</v>
      </c>
      <c r="C334" s="9" t="s">
        <v>205</v>
      </c>
      <c r="D334" s="9" t="str">
        <f aca="false">INDEX(Lookups!$C$5:$C$75,MATCH($C334,Lookups!$A$5:$A$75,0))</f>
        <v>Other regions</v>
      </c>
      <c r="E334" s="9" t="str">
        <f aca="false">INDEX(Lookups!$D$5:$D$75,MATCH($C334,Lookups!$A$5:$A$75,0))</f>
        <v>Rest of world</v>
      </c>
      <c r="F334" s="9" t="str">
        <f aca="false">IF($D334="Latin America &amp; Caribbean","Yes","No")</f>
        <v>No</v>
      </c>
      <c r="G334" s="9" t="str">
        <f aca="false">IF($C334="VEN","In-country record","Abroad")</f>
        <v>Abroad</v>
      </c>
      <c r="H334" s="24" t="n">
        <v>0</v>
      </c>
      <c r="I334" s="24" t="n">
        <v>0</v>
      </c>
      <c r="J334" s="24" t="n">
        <v>0</v>
      </c>
      <c r="K334" s="24" t="n">
        <v>0</v>
      </c>
      <c r="L334" s="24" t="n">
        <v>0</v>
      </c>
      <c r="M334" s="24" t="n">
        <v>0</v>
      </c>
      <c r="N334" s="24" t="n">
        <v>0</v>
      </c>
      <c r="O334" s="24" t="n">
        <v>0</v>
      </c>
      <c r="P334" s="24" t="n">
        <v>0</v>
      </c>
      <c r="Q334" s="24" t="n">
        <v>0</v>
      </c>
      <c r="R334" s="24" t="n">
        <v>0</v>
      </c>
      <c r="S334" s="24" t="n">
        <v>0</v>
      </c>
      <c r="T334" s="24" t="n">
        <v>0</v>
      </c>
      <c r="U334" s="24" t="n">
        <v>0</v>
      </c>
      <c r="V334" s="24" t="n">
        <v>5</v>
      </c>
      <c r="W334" s="24" t="n">
        <f aca="false">N334+U334</f>
        <v>0</v>
      </c>
      <c r="X334" s="32" t="n">
        <f aca="false">IF(V334&gt;0,W334/V334,0)</f>
        <v>0</v>
      </c>
      <c r="Y334" s="9"/>
    </row>
    <row r="335" customFormat="false" ht="15" hidden="false" customHeight="false" outlineLevel="0" collapsed="false">
      <c r="A335" s="25" t="n">
        <v>2025</v>
      </c>
      <c r="B335" s="9" t="s">
        <v>290</v>
      </c>
      <c r="C335" s="9" t="s">
        <v>189</v>
      </c>
      <c r="D335" s="9" t="str">
        <f aca="false">INDEX(Lookups!$C$5:$C$75,MATCH($C335,Lookups!$A$5:$A$75,0))</f>
        <v>Europe</v>
      </c>
      <c r="E335" s="9" t="str">
        <f aca="false">INDEX(Lookups!$D$5:$D$75,MATCH($C335,Lookups!$A$5:$A$75,0))</f>
        <v>Europe</v>
      </c>
      <c r="F335" s="9" t="str">
        <f aca="false">IF($D335="Latin America &amp; Caribbean","Yes","No")</f>
        <v>No</v>
      </c>
      <c r="G335" s="9" t="str">
        <f aca="false">IF($C335="VEN","In-country record","Abroad")</f>
        <v>Abroad</v>
      </c>
      <c r="H335" s="24" t="n">
        <v>0</v>
      </c>
      <c r="I335" s="24" t="n">
        <v>8</v>
      </c>
      <c r="J335" s="24" t="n">
        <v>0</v>
      </c>
      <c r="K335" s="24" t="n">
        <v>85</v>
      </c>
      <c r="L335" s="24" t="n">
        <v>5</v>
      </c>
      <c r="M335" s="24" t="n">
        <v>12</v>
      </c>
      <c r="N335" s="24" t="n">
        <v>110</v>
      </c>
      <c r="O335" s="24" t="n">
        <v>0</v>
      </c>
      <c r="P335" s="24" t="n">
        <v>0</v>
      </c>
      <c r="Q335" s="24" t="n">
        <v>9</v>
      </c>
      <c r="R335" s="24" t="n">
        <v>111</v>
      </c>
      <c r="S335" s="24" t="n">
        <v>0</v>
      </c>
      <c r="T335" s="24" t="n">
        <v>13</v>
      </c>
      <c r="U335" s="24" t="n">
        <v>133</v>
      </c>
      <c r="V335" s="24" t="n">
        <v>243</v>
      </c>
      <c r="W335" s="24" t="n">
        <f aca="false">N335+U335</f>
        <v>243</v>
      </c>
      <c r="X335" s="32" t="n">
        <f aca="false">IF(V335&gt;0,W335/V335,0)</f>
        <v>1</v>
      </c>
      <c r="Y335" s="9"/>
    </row>
    <row r="336" customFormat="false" ht="15" hidden="false" customHeight="false" outlineLevel="0" collapsed="false">
      <c r="A336" s="25" t="n">
        <v>2025</v>
      </c>
      <c r="B336" s="9" t="s">
        <v>291</v>
      </c>
      <c r="C336" s="9" t="s">
        <v>165</v>
      </c>
      <c r="D336" s="9" t="str">
        <f aca="false">INDEX(Lookups!$C$5:$C$75,MATCH($C336,Lookups!$A$5:$A$75,0))</f>
        <v>Latin America &amp; Caribbean</v>
      </c>
      <c r="E336" s="9" t="str">
        <f aca="false">INDEX(Lookups!$D$5:$D$75,MATCH($C336,Lookups!$A$5:$A$75,0))</f>
        <v>Central America &amp; Mexico</v>
      </c>
      <c r="F336" s="9" t="str">
        <f aca="false">IF($D336="Latin America &amp; Caribbean","Yes","No")</f>
        <v>Yes</v>
      </c>
      <c r="G336" s="9" t="str">
        <f aca="false">IF($C336="VEN","In-country record","Abroad")</f>
        <v>Abroad</v>
      </c>
      <c r="H336" s="24" t="n">
        <v>115</v>
      </c>
      <c r="I336" s="24" t="n">
        <v>2040</v>
      </c>
      <c r="J336" s="24" t="n">
        <v>2171</v>
      </c>
      <c r="K336" s="24" t="n">
        <v>23296</v>
      </c>
      <c r="L336" s="24" t="n">
        <v>2706</v>
      </c>
      <c r="M336" s="24" t="n">
        <v>0</v>
      </c>
      <c r="N336" s="24" t="n">
        <v>30328</v>
      </c>
      <c r="O336" s="24" t="n">
        <v>143</v>
      </c>
      <c r="P336" s="24" t="n">
        <v>2130</v>
      </c>
      <c r="Q336" s="24" t="n">
        <v>2247</v>
      </c>
      <c r="R336" s="24" t="n">
        <v>20684</v>
      </c>
      <c r="S336" s="24" t="n">
        <v>1565</v>
      </c>
      <c r="T336" s="24" t="n">
        <v>0</v>
      </c>
      <c r="U336" s="24" t="n">
        <v>26769</v>
      </c>
      <c r="V336" s="24" t="n">
        <v>57845</v>
      </c>
      <c r="W336" s="24" t="n">
        <f aca="false">N336+U336</f>
        <v>57097</v>
      </c>
      <c r="X336" s="32" t="n">
        <f aca="false">IF(V336&gt;0,W336/V336,0)</f>
        <v>0.987068891001815</v>
      </c>
      <c r="Y336" s="9"/>
    </row>
    <row r="337" customFormat="false" ht="15" hidden="false" customHeight="false" outlineLevel="0" collapsed="false">
      <c r="A337" s="25" t="n">
        <v>2025</v>
      </c>
      <c r="B337" s="9" t="s">
        <v>292</v>
      </c>
      <c r="C337" s="9" t="s">
        <v>178</v>
      </c>
      <c r="D337" s="9" t="str">
        <f aca="false">INDEX(Lookups!$C$5:$C$75,MATCH($C337,Lookups!$A$5:$A$75,0))</f>
        <v>Latin America &amp; Caribbean</v>
      </c>
      <c r="E337" s="9" t="str">
        <f aca="false">INDEX(Lookups!$D$5:$D$75,MATCH($C337,Lookups!$A$5:$A$75,0))</f>
        <v>Southern Cone &amp; Brazil</v>
      </c>
      <c r="F337" s="9" t="str">
        <f aca="false">IF($D337="Latin America &amp; Caribbean","Yes","No")</f>
        <v>Yes</v>
      </c>
      <c r="G337" s="9" t="str">
        <f aca="false">IF($C337="VEN","In-country record","Abroad")</f>
        <v>Abroad</v>
      </c>
      <c r="H337" s="24" t="n">
        <v>16</v>
      </c>
      <c r="I337" s="24" t="n">
        <v>182</v>
      </c>
      <c r="J337" s="24" t="n">
        <v>155</v>
      </c>
      <c r="K337" s="24" t="n">
        <v>1243</v>
      </c>
      <c r="L337" s="24" t="n">
        <v>157</v>
      </c>
      <c r="M337" s="24" t="n">
        <v>0</v>
      </c>
      <c r="N337" s="24" t="n">
        <v>1753</v>
      </c>
      <c r="O337" s="24" t="n">
        <v>21</v>
      </c>
      <c r="P337" s="24" t="n">
        <v>194</v>
      </c>
      <c r="Q337" s="24" t="n">
        <v>178</v>
      </c>
      <c r="R337" s="24" t="n">
        <v>1662</v>
      </c>
      <c r="S337" s="24" t="n">
        <v>80</v>
      </c>
      <c r="T337" s="24" t="n">
        <v>37</v>
      </c>
      <c r="U337" s="24" t="n">
        <v>2172</v>
      </c>
      <c r="V337" s="24" t="n">
        <v>3925</v>
      </c>
      <c r="W337" s="24" t="n">
        <f aca="false">N337+U337</f>
        <v>3925</v>
      </c>
      <c r="X337" s="32" t="n">
        <f aca="false">IF(V337&gt;0,W337/V337,0)</f>
        <v>1</v>
      </c>
      <c r="Y337" s="9"/>
    </row>
    <row r="338" customFormat="false" ht="15" hidden="false" customHeight="false" outlineLevel="0" collapsed="false">
      <c r="A338" s="25" t="n">
        <v>2025</v>
      </c>
      <c r="B338" s="9" t="s">
        <v>293</v>
      </c>
      <c r="C338" s="9" t="s">
        <v>156</v>
      </c>
      <c r="D338" s="9" t="str">
        <f aca="false">INDEX(Lookups!$C$5:$C$75,MATCH($C338,Lookups!$A$5:$A$75,0))</f>
        <v>Latin America &amp; Caribbean</v>
      </c>
      <c r="E338" s="9" t="str">
        <f aca="false">INDEX(Lookups!$D$5:$D$75,MATCH($C338,Lookups!$A$5:$A$75,0))</f>
        <v>Andean region</v>
      </c>
      <c r="F338" s="9" t="str">
        <f aca="false">IF($D338="Latin America &amp; Caribbean","Yes","No")</f>
        <v>Yes</v>
      </c>
      <c r="G338" s="9" t="str">
        <f aca="false">IF($C338="VEN","In-country record","Abroad")</f>
        <v>Abroad</v>
      </c>
      <c r="H338" s="24" t="n">
        <v>52705</v>
      </c>
      <c r="I338" s="24" t="n">
        <v>79058</v>
      </c>
      <c r="J338" s="24" t="n">
        <v>46117</v>
      </c>
      <c r="K338" s="24" t="n">
        <v>367835</v>
      </c>
      <c r="L338" s="24" t="n">
        <v>23057</v>
      </c>
      <c r="M338" s="24" t="n">
        <v>0</v>
      </c>
      <c r="N338" s="24" t="n">
        <v>568772</v>
      </c>
      <c r="O338" s="24" t="n">
        <v>54901</v>
      </c>
      <c r="P338" s="24" t="n">
        <v>79056</v>
      </c>
      <c r="Q338" s="24" t="n">
        <v>48312</v>
      </c>
      <c r="R338" s="24" t="n">
        <v>332697</v>
      </c>
      <c r="S338" s="24" t="n">
        <v>14276</v>
      </c>
      <c r="T338" s="24" t="n">
        <v>0</v>
      </c>
      <c r="U338" s="24" t="n">
        <v>529242</v>
      </c>
      <c r="V338" s="24" t="n">
        <v>1641305</v>
      </c>
      <c r="W338" s="24" t="n">
        <f aca="false">N338+U338</f>
        <v>1098014</v>
      </c>
      <c r="X338" s="32" t="n">
        <f aca="false">IF(V338&gt;0,W338/V338,0)</f>
        <v>0.668988396428452</v>
      </c>
      <c r="Y338" s="9"/>
    </row>
    <row r="339" customFormat="false" ht="15" hidden="false" customHeight="false" outlineLevel="0" collapsed="false">
      <c r="A339" s="25" t="n">
        <v>2025</v>
      </c>
      <c r="B339" s="9" t="s">
        <v>294</v>
      </c>
      <c r="C339" s="9" t="s">
        <v>196</v>
      </c>
      <c r="D339" s="9" t="str">
        <f aca="false">INDEX(Lookups!$C$5:$C$75,MATCH($C339,Lookups!$A$5:$A$75,0))</f>
        <v>Europe</v>
      </c>
      <c r="E339" s="9" t="str">
        <f aca="false">INDEX(Lookups!$D$5:$D$75,MATCH($C339,Lookups!$A$5:$A$75,0))</f>
        <v>Europe</v>
      </c>
      <c r="F339" s="9" t="str">
        <f aca="false">IF($D339="Latin America &amp; Caribbean","Yes","No")</f>
        <v>No</v>
      </c>
      <c r="G339" s="9" t="str">
        <f aca="false">IF($C339="VEN","In-country record","Abroad")</f>
        <v>Abroad</v>
      </c>
      <c r="H339" s="24" t="n">
        <v>0</v>
      </c>
      <c r="I339" s="24" t="n">
        <v>0</v>
      </c>
      <c r="J339" s="24" t="n">
        <v>5</v>
      </c>
      <c r="K339" s="24" t="n">
        <v>16</v>
      </c>
      <c r="L339" s="24" t="n">
        <v>0</v>
      </c>
      <c r="M339" s="24" t="n">
        <v>0</v>
      </c>
      <c r="N339" s="24" t="n">
        <v>21</v>
      </c>
      <c r="O339" s="24" t="n">
        <v>0</v>
      </c>
      <c r="P339" s="24" t="n">
        <v>0</v>
      </c>
      <c r="Q339" s="24" t="n">
        <v>5</v>
      </c>
      <c r="R339" s="24" t="n">
        <v>20</v>
      </c>
      <c r="S339" s="24" t="n">
        <v>0</v>
      </c>
      <c r="T339" s="24" t="n">
        <v>0</v>
      </c>
      <c r="U339" s="24" t="n">
        <v>25</v>
      </c>
      <c r="V339" s="24" t="n">
        <v>46</v>
      </c>
      <c r="W339" s="24" t="n">
        <f aca="false">N339+U339</f>
        <v>46</v>
      </c>
      <c r="X339" s="32" t="n">
        <f aca="false">IF(V339&gt;0,W339/V339,0)</f>
        <v>1</v>
      </c>
      <c r="Y339" s="9"/>
    </row>
    <row r="340" customFormat="false" ht="15" hidden="false" customHeight="false" outlineLevel="0" collapsed="false">
      <c r="A340" s="25" t="n">
        <v>2025</v>
      </c>
      <c r="B340" s="9" t="s">
        <v>295</v>
      </c>
      <c r="C340" s="9" t="s">
        <v>185</v>
      </c>
      <c r="D340" s="9" t="str">
        <f aca="false">INDEX(Lookups!$C$5:$C$75,MATCH($C340,Lookups!$A$5:$A$75,0))</f>
        <v>Europe</v>
      </c>
      <c r="E340" s="9" t="str">
        <f aca="false">INDEX(Lookups!$D$5:$D$75,MATCH($C340,Lookups!$A$5:$A$75,0))</f>
        <v>Europe</v>
      </c>
      <c r="F340" s="9" t="str">
        <f aca="false">IF($D340="Latin America &amp; Caribbean","Yes","No")</f>
        <v>No</v>
      </c>
      <c r="G340" s="9" t="str">
        <f aca="false">IF($C340="VEN","In-country record","Abroad")</f>
        <v>Abroad</v>
      </c>
      <c r="H340" s="24" t="n">
        <v>24</v>
      </c>
      <c r="I340" s="24" t="n">
        <v>14</v>
      </c>
      <c r="J340" s="24" t="n">
        <v>8</v>
      </c>
      <c r="K340" s="24" t="n">
        <v>109</v>
      </c>
      <c r="L340" s="24" t="n">
        <v>15</v>
      </c>
      <c r="M340" s="24" t="n">
        <v>0</v>
      </c>
      <c r="N340" s="24" t="n">
        <v>170</v>
      </c>
      <c r="O340" s="24" t="n">
        <v>13</v>
      </c>
      <c r="P340" s="24" t="n">
        <v>17</v>
      </c>
      <c r="Q340" s="24" t="n">
        <v>15</v>
      </c>
      <c r="R340" s="24" t="n">
        <v>116</v>
      </c>
      <c r="S340" s="24" t="n">
        <v>9</v>
      </c>
      <c r="T340" s="24" t="n">
        <v>0</v>
      </c>
      <c r="U340" s="24" t="n">
        <v>170</v>
      </c>
      <c r="V340" s="24" t="n">
        <v>340</v>
      </c>
      <c r="W340" s="24" t="n">
        <f aca="false">N340+U340</f>
        <v>340</v>
      </c>
      <c r="X340" s="32" t="n">
        <f aca="false">IF(V340&gt;0,W340/V340,0)</f>
        <v>1</v>
      </c>
      <c r="Y340" s="9"/>
    </row>
    <row r="341" customFormat="false" ht="15" hidden="false" customHeight="false" outlineLevel="0" collapsed="false">
      <c r="A341" s="25" t="n">
        <v>2025</v>
      </c>
      <c r="B341" s="9" t="s">
        <v>298</v>
      </c>
      <c r="C341" s="9" t="s">
        <v>191</v>
      </c>
      <c r="D341" s="9" t="str">
        <f aca="false">INDEX(Lookups!$C$5:$C$75,MATCH($C341,Lookups!$A$5:$A$75,0))</f>
        <v>Latin America &amp; Caribbean</v>
      </c>
      <c r="E341" s="9" t="str">
        <f aca="false">INDEX(Lookups!$D$5:$D$75,MATCH($C341,Lookups!$A$5:$A$75,0))</f>
        <v>Caribbean &amp; Guianas</v>
      </c>
      <c r="F341" s="9" t="str">
        <f aca="false">IF($D341="Latin America &amp; Caribbean","Yes","No")</f>
        <v>Yes</v>
      </c>
      <c r="G341" s="9" t="str">
        <f aca="false">IF($C341="VEN","In-country record","Abroad")</f>
        <v>Abroad</v>
      </c>
      <c r="H341" s="24" t="n">
        <v>0</v>
      </c>
      <c r="I341" s="24" t="n">
        <v>5</v>
      </c>
      <c r="J341" s="24" t="n">
        <v>5</v>
      </c>
      <c r="K341" s="24" t="n">
        <v>37</v>
      </c>
      <c r="L341" s="24" t="n">
        <v>0</v>
      </c>
      <c r="M341" s="24" t="n">
        <v>0</v>
      </c>
      <c r="N341" s="24" t="n">
        <v>47</v>
      </c>
      <c r="O341" s="24" t="n">
        <v>7</v>
      </c>
      <c r="P341" s="24" t="n">
        <v>0</v>
      </c>
      <c r="Q341" s="24" t="n">
        <v>0</v>
      </c>
      <c r="R341" s="24" t="n">
        <v>79</v>
      </c>
      <c r="S341" s="24" t="n">
        <v>5</v>
      </c>
      <c r="T341" s="24" t="n">
        <v>0</v>
      </c>
      <c r="U341" s="24" t="n">
        <v>91</v>
      </c>
      <c r="V341" s="24" t="n">
        <v>138</v>
      </c>
      <c r="W341" s="24" t="n">
        <f aca="false">N341+U341</f>
        <v>138</v>
      </c>
      <c r="X341" s="32" t="n">
        <f aca="false">IF(V341&gt;0,W341/V341,0)</f>
        <v>1</v>
      </c>
      <c r="Y341" s="9"/>
    </row>
    <row r="342" customFormat="false" ht="15" hidden="false" customHeight="false" outlineLevel="0" collapsed="false">
      <c r="A342" s="25" t="n">
        <v>2025</v>
      </c>
      <c r="B342" s="9" t="s">
        <v>333</v>
      </c>
      <c r="C342" s="9" t="s">
        <v>207</v>
      </c>
      <c r="D342" s="9" t="str">
        <f aca="false">INDEX(Lookups!$C$5:$C$75,MATCH($C342,Lookups!$A$5:$A$75,0))</f>
        <v>Europe</v>
      </c>
      <c r="E342" s="9" t="str">
        <f aca="false">INDEX(Lookups!$D$5:$D$75,MATCH($C342,Lookups!$A$5:$A$75,0))</f>
        <v>Europe</v>
      </c>
      <c r="F342" s="9" t="str">
        <f aca="false">IF($D342="Latin America &amp; Caribbean","Yes","No")</f>
        <v>No</v>
      </c>
      <c r="G342" s="9" t="str">
        <f aca="false">IF($C342="VEN","In-country record","Abroad")</f>
        <v>Abroad</v>
      </c>
      <c r="H342" s="24" t="n">
        <v>0</v>
      </c>
      <c r="I342" s="24" t="n">
        <v>0</v>
      </c>
      <c r="J342" s="24" t="n">
        <v>0</v>
      </c>
      <c r="K342" s="24" t="n">
        <v>0</v>
      </c>
      <c r="L342" s="24" t="n">
        <v>0</v>
      </c>
      <c r="M342" s="24" t="n">
        <v>0</v>
      </c>
      <c r="N342" s="24" t="n">
        <v>0</v>
      </c>
      <c r="O342" s="24" t="n">
        <v>0</v>
      </c>
      <c r="P342" s="24" t="n">
        <v>0</v>
      </c>
      <c r="Q342" s="24" t="n">
        <v>0</v>
      </c>
      <c r="R342" s="24" t="n">
        <v>0</v>
      </c>
      <c r="S342" s="24" t="n">
        <v>0</v>
      </c>
      <c r="T342" s="24" t="n">
        <v>0</v>
      </c>
      <c r="U342" s="24" t="n">
        <v>0</v>
      </c>
      <c r="V342" s="24" t="n">
        <v>5</v>
      </c>
      <c r="W342" s="24" t="n">
        <f aca="false">N342+U342</f>
        <v>0</v>
      </c>
      <c r="X342" s="32" t="n">
        <f aca="false">IF(V342&gt;0,W342/V342,0)</f>
        <v>0</v>
      </c>
      <c r="Y342" s="9"/>
    </row>
    <row r="343" customFormat="false" ht="15" hidden="false" customHeight="false" outlineLevel="0" collapsed="false">
      <c r="A343" s="25" t="n">
        <v>2025</v>
      </c>
      <c r="B343" s="9" t="s">
        <v>300</v>
      </c>
      <c r="C343" s="9" t="s">
        <v>161</v>
      </c>
      <c r="D343" s="9" t="str">
        <f aca="false">INDEX(Lookups!$C$5:$C$75,MATCH($C343,Lookups!$A$5:$A$75,0))</f>
        <v>Europe</v>
      </c>
      <c r="E343" s="9" t="str">
        <f aca="false">INDEX(Lookups!$D$5:$D$75,MATCH($C343,Lookups!$A$5:$A$75,0))</f>
        <v>Europe</v>
      </c>
      <c r="F343" s="9" t="str">
        <f aca="false">IF($D343="Latin America &amp; Caribbean","Yes","No")</f>
        <v>No</v>
      </c>
      <c r="G343" s="9" t="str">
        <f aca="false">IF($C343="VEN","In-country record","Abroad")</f>
        <v>Abroad</v>
      </c>
      <c r="H343" s="24" t="n">
        <v>5712</v>
      </c>
      <c r="I343" s="24" t="n">
        <v>8887</v>
      </c>
      <c r="J343" s="24" t="n">
        <v>9323</v>
      </c>
      <c r="K343" s="24" t="n">
        <v>107585</v>
      </c>
      <c r="L343" s="24" t="n">
        <v>16132</v>
      </c>
      <c r="M343" s="24" t="n">
        <v>0</v>
      </c>
      <c r="N343" s="24" t="n">
        <v>147639</v>
      </c>
      <c r="O343" s="24" t="n">
        <v>5735</v>
      </c>
      <c r="P343" s="24" t="n">
        <v>8946</v>
      </c>
      <c r="Q343" s="24" t="n">
        <v>9435</v>
      </c>
      <c r="R343" s="24" t="n">
        <v>104320</v>
      </c>
      <c r="S343" s="24" t="n">
        <v>7666</v>
      </c>
      <c r="T343" s="24" t="n">
        <v>0</v>
      </c>
      <c r="U343" s="24" t="n">
        <v>136102</v>
      </c>
      <c r="V343" s="24" t="n">
        <v>283741</v>
      </c>
      <c r="W343" s="24" t="n">
        <f aca="false">N343+U343</f>
        <v>283741</v>
      </c>
      <c r="X343" s="32" t="n">
        <f aca="false">IF(V343&gt;0,W343/V343,0)</f>
        <v>1</v>
      </c>
      <c r="Y343" s="9" t="s">
        <v>321</v>
      </c>
    </row>
    <row r="344" customFormat="false" ht="15" hidden="false" customHeight="false" outlineLevel="0" collapsed="false">
      <c r="A344" s="25" t="n">
        <v>2025</v>
      </c>
      <c r="B344" s="9" t="s">
        <v>302</v>
      </c>
      <c r="C344" s="9" t="s">
        <v>183</v>
      </c>
      <c r="D344" s="9" t="str">
        <f aca="false">INDEX(Lookups!$C$5:$C$75,MATCH($C344,Lookups!$A$5:$A$75,0))</f>
        <v>Latin America &amp; Caribbean</v>
      </c>
      <c r="E344" s="9" t="str">
        <f aca="false">INDEX(Lookups!$D$5:$D$75,MATCH($C344,Lookups!$A$5:$A$75,0))</f>
        <v>Caribbean &amp; Guianas</v>
      </c>
      <c r="F344" s="9" t="str">
        <f aca="false">IF($D344="Latin America &amp; Caribbean","Yes","No")</f>
        <v>Yes</v>
      </c>
      <c r="G344" s="9" t="str">
        <f aca="false">IF($C344="VEN","In-country record","Abroad")</f>
        <v>Abroad</v>
      </c>
      <c r="H344" s="24" t="n">
        <v>6</v>
      </c>
      <c r="I344" s="24" t="n">
        <v>9</v>
      </c>
      <c r="J344" s="24" t="n">
        <v>19</v>
      </c>
      <c r="K344" s="24" t="n">
        <v>328</v>
      </c>
      <c r="L344" s="24" t="n">
        <v>5</v>
      </c>
      <c r="M344" s="24" t="n">
        <v>0</v>
      </c>
      <c r="N344" s="24" t="n">
        <v>367</v>
      </c>
      <c r="O344" s="24" t="n">
        <v>0</v>
      </c>
      <c r="P344" s="24" t="n">
        <v>28</v>
      </c>
      <c r="Q344" s="24" t="n">
        <v>17</v>
      </c>
      <c r="R344" s="24" t="n">
        <v>70</v>
      </c>
      <c r="S344" s="24" t="n">
        <v>0</v>
      </c>
      <c r="T344" s="24" t="n">
        <v>0</v>
      </c>
      <c r="U344" s="24" t="n">
        <v>115</v>
      </c>
      <c r="V344" s="24" t="n">
        <v>482</v>
      </c>
      <c r="W344" s="24" t="n">
        <f aca="false">N344+U344</f>
        <v>482</v>
      </c>
      <c r="X344" s="32" t="n">
        <f aca="false">IF(V344&gt;0,W344/V344,0)</f>
        <v>1</v>
      </c>
      <c r="Y344" s="9"/>
    </row>
    <row r="345" customFormat="false" ht="15" hidden="false" customHeight="false" outlineLevel="0" collapsed="false">
      <c r="A345" s="25" t="n">
        <v>2025</v>
      </c>
      <c r="B345" s="9" t="s">
        <v>303</v>
      </c>
      <c r="C345" s="9" t="s">
        <v>193</v>
      </c>
      <c r="D345" s="9" t="str">
        <f aca="false">INDEX(Lookups!$C$5:$C$75,MATCH($C345,Lookups!$A$5:$A$75,0))</f>
        <v>Europe</v>
      </c>
      <c r="E345" s="9" t="str">
        <f aca="false">INDEX(Lookups!$D$5:$D$75,MATCH($C345,Lookups!$A$5:$A$75,0))</f>
        <v>Europe</v>
      </c>
      <c r="F345" s="9" t="str">
        <f aca="false">IF($D345="Latin America &amp; Caribbean","Yes","No")</f>
        <v>No</v>
      </c>
      <c r="G345" s="9" t="str">
        <f aca="false">IF($C345="VEN","In-country record","Abroad")</f>
        <v>Abroad</v>
      </c>
      <c r="H345" s="24" t="n">
        <v>0</v>
      </c>
      <c r="I345" s="24" t="n">
        <v>0</v>
      </c>
      <c r="J345" s="24" t="n">
        <v>0</v>
      </c>
      <c r="K345" s="24" t="n">
        <v>31</v>
      </c>
      <c r="L345" s="24" t="n">
        <v>0</v>
      </c>
      <c r="M345" s="24" t="n">
        <v>5</v>
      </c>
      <c r="N345" s="24" t="n">
        <v>36</v>
      </c>
      <c r="O345" s="24" t="n">
        <v>0</v>
      </c>
      <c r="P345" s="24" t="n">
        <v>0</v>
      </c>
      <c r="Q345" s="24" t="n">
        <v>0</v>
      </c>
      <c r="R345" s="24" t="n">
        <v>38</v>
      </c>
      <c r="S345" s="24" t="n">
        <v>0</v>
      </c>
      <c r="T345" s="24" t="n">
        <v>5</v>
      </c>
      <c r="U345" s="24" t="n">
        <v>43</v>
      </c>
      <c r="V345" s="24" t="n">
        <v>79</v>
      </c>
      <c r="W345" s="24" t="n">
        <f aca="false">N345+U345</f>
        <v>79</v>
      </c>
      <c r="X345" s="32" t="n">
        <f aca="false">IF(V345&gt;0,W345/V345,0)</f>
        <v>1</v>
      </c>
      <c r="Y345" s="9"/>
    </row>
    <row r="346" customFormat="false" ht="15" hidden="false" customHeight="false" outlineLevel="0" collapsed="false">
      <c r="A346" s="25" t="n">
        <v>2025</v>
      </c>
      <c r="B346" s="9" t="s">
        <v>304</v>
      </c>
      <c r="C346" s="9" t="s">
        <v>188</v>
      </c>
      <c r="D346" s="9" t="str">
        <f aca="false">INDEX(Lookups!$C$5:$C$75,MATCH($C346,Lookups!$A$5:$A$75,0))</f>
        <v>Europe</v>
      </c>
      <c r="E346" s="9" t="str">
        <f aca="false">INDEX(Lookups!$D$5:$D$75,MATCH($C346,Lookups!$A$5:$A$75,0))</f>
        <v>Europe</v>
      </c>
      <c r="F346" s="9" t="str">
        <f aca="false">IF($D346="Latin America &amp; Caribbean","Yes","No")</f>
        <v>No</v>
      </c>
      <c r="G346" s="9" t="str">
        <f aca="false">IF($C346="VEN","In-country record","Abroad")</f>
        <v>Abroad</v>
      </c>
      <c r="H346" s="24" t="n">
        <v>0</v>
      </c>
      <c r="I346" s="24" t="n">
        <v>19</v>
      </c>
      <c r="J346" s="24" t="n">
        <v>10</v>
      </c>
      <c r="K346" s="24" t="n">
        <v>60</v>
      </c>
      <c r="L346" s="24" t="n">
        <v>7</v>
      </c>
      <c r="M346" s="24" t="n">
        <v>25</v>
      </c>
      <c r="N346" s="24" t="n">
        <v>121</v>
      </c>
      <c r="O346" s="24" t="n">
        <v>0</v>
      </c>
      <c r="P346" s="24" t="n">
        <v>7</v>
      </c>
      <c r="Q346" s="24" t="n">
        <v>13</v>
      </c>
      <c r="R346" s="24" t="n">
        <v>71</v>
      </c>
      <c r="S346" s="24" t="n">
        <v>6</v>
      </c>
      <c r="T346" s="24" t="n">
        <v>36</v>
      </c>
      <c r="U346" s="24" t="n">
        <v>133</v>
      </c>
      <c r="V346" s="24" t="n">
        <v>254</v>
      </c>
      <c r="W346" s="24" t="n">
        <f aca="false">N346+U346</f>
        <v>254</v>
      </c>
      <c r="X346" s="32" t="n">
        <f aca="false">IF(V346&gt;0,W346/V346,0)</f>
        <v>1</v>
      </c>
      <c r="Y346" s="9"/>
    </row>
    <row r="347" customFormat="false" ht="15" hidden="false" customHeight="false" outlineLevel="0" collapsed="false">
      <c r="A347" s="25" t="n">
        <v>2025</v>
      </c>
      <c r="B347" s="9" t="s">
        <v>305</v>
      </c>
      <c r="C347" s="9" t="s">
        <v>167</v>
      </c>
      <c r="D347" s="9" t="str">
        <f aca="false">INDEX(Lookups!$C$5:$C$75,MATCH($C347,Lookups!$A$5:$A$75,0))</f>
        <v>Latin America &amp; Caribbean</v>
      </c>
      <c r="E347" s="9" t="str">
        <f aca="false">INDEX(Lookups!$D$5:$D$75,MATCH($C347,Lookups!$A$5:$A$75,0))</f>
        <v>Caribbean &amp; Guianas</v>
      </c>
      <c r="F347" s="9" t="str">
        <f aca="false">IF($D347="Latin America &amp; Caribbean","Yes","No")</f>
        <v>Yes</v>
      </c>
      <c r="G347" s="9" t="str">
        <f aca="false">IF($C347="VEN","In-country record","Abroad")</f>
        <v>Abroad</v>
      </c>
      <c r="H347" s="24" t="n">
        <v>0</v>
      </c>
      <c r="I347" s="24" t="n">
        <v>0</v>
      </c>
      <c r="J347" s="24" t="n">
        <v>0</v>
      </c>
      <c r="K347" s="24" t="n">
        <v>0</v>
      </c>
      <c r="L347" s="24" t="n">
        <v>0</v>
      </c>
      <c r="M347" s="24" t="n">
        <v>0</v>
      </c>
      <c r="N347" s="24" t="n">
        <v>0</v>
      </c>
      <c r="O347" s="24" t="n">
        <v>0</v>
      </c>
      <c r="P347" s="24" t="n">
        <v>0</v>
      </c>
      <c r="Q347" s="24" t="n">
        <v>0</v>
      </c>
      <c r="R347" s="24" t="n">
        <v>0</v>
      </c>
      <c r="S347" s="24" t="n">
        <v>0</v>
      </c>
      <c r="T347" s="24" t="n">
        <v>0</v>
      </c>
      <c r="U347" s="24" t="n">
        <v>0</v>
      </c>
      <c r="V347" s="24" t="n">
        <v>26432</v>
      </c>
      <c r="W347" s="24" t="n">
        <f aca="false">N347+U347</f>
        <v>0</v>
      </c>
      <c r="X347" s="32" t="n">
        <f aca="false">IF(V347&gt;0,W347/V347,0)</f>
        <v>0</v>
      </c>
      <c r="Y347" s="9" t="s">
        <v>248</v>
      </c>
    </row>
    <row r="348" customFormat="false" ht="15" hidden="false" customHeight="false" outlineLevel="0" collapsed="false">
      <c r="A348" s="25" t="n">
        <v>2025</v>
      </c>
      <c r="B348" s="9" t="s">
        <v>306</v>
      </c>
      <c r="C348" s="9" t="s">
        <v>192</v>
      </c>
      <c r="D348" s="9" t="str">
        <f aca="false">INDEX(Lookups!$C$5:$C$75,MATCH($C348,Lookups!$A$5:$A$75,0))</f>
        <v>Europe</v>
      </c>
      <c r="E348" s="9" t="str">
        <f aca="false">INDEX(Lookups!$D$5:$D$75,MATCH($C348,Lookups!$A$5:$A$75,0))</f>
        <v>Europe</v>
      </c>
      <c r="F348" s="9" t="str">
        <f aca="false">IF($D348="Latin America &amp; Caribbean","Yes","No")</f>
        <v>No</v>
      </c>
      <c r="G348" s="9" t="str">
        <f aca="false">IF($C348="VEN","In-country record","Abroad")</f>
        <v>Abroad</v>
      </c>
      <c r="H348" s="24" t="n">
        <v>0</v>
      </c>
      <c r="I348" s="24" t="n">
        <v>5</v>
      </c>
      <c r="J348" s="24" t="n">
        <v>10</v>
      </c>
      <c r="K348" s="24" t="n">
        <v>19</v>
      </c>
      <c r="L348" s="24" t="n">
        <v>12</v>
      </c>
      <c r="M348" s="24" t="n">
        <v>8</v>
      </c>
      <c r="N348" s="24" t="n">
        <v>54</v>
      </c>
      <c r="O348" s="24" t="n">
        <v>0</v>
      </c>
      <c r="P348" s="24" t="n">
        <v>5</v>
      </c>
      <c r="Q348" s="24" t="n">
        <v>10</v>
      </c>
      <c r="R348" s="24" t="n">
        <v>20</v>
      </c>
      <c r="S348" s="24" t="n">
        <v>11</v>
      </c>
      <c r="T348" s="24" t="n">
        <v>14</v>
      </c>
      <c r="U348" s="24" t="n">
        <v>60</v>
      </c>
      <c r="V348" s="24" t="n">
        <v>114</v>
      </c>
      <c r="W348" s="24" t="n">
        <f aca="false">N348+U348</f>
        <v>114</v>
      </c>
      <c r="X348" s="32" t="n">
        <f aca="false">IF(V348&gt;0,W348/V348,0)</f>
        <v>1</v>
      </c>
      <c r="Y348" s="9"/>
    </row>
    <row r="349" customFormat="false" ht="15" hidden="false" customHeight="false" outlineLevel="0" collapsed="false">
      <c r="A349" s="25" t="n">
        <v>2025</v>
      </c>
      <c r="B349" s="9" t="s">
        <v>307</v>
      </c>
      <c r="C349" s="9" t="s">
        <v>160</v>
      </c>
      <c r="D349" s="9" t="str">
        <f aca="false">INDEX(Lookups!$C$5:$C$75,MATCH($C349,Lookups!$A$5:$A$75,0))</f>
        <v>North America</v>
      </c>
      <c r="E349" s="9" t="str">
        <f aca="false">INDEX(Lookups!$D$5:$D$75,MATCH($C349,Lookups!$A$5:$A$75,0))</f>
        <v>North America</v>
      </c>
      <c r="F349" s="9" t="str">
        <f aca="false">IF($D349="Latin America &amp; Caribbean","Yes","No")</f>
        <v>No</v>
      </c>
      <c r="G349" s="9" t="str">
        <f aca="false">IF($C349="VEN","In-country record","Abroad")</f>
        <v>Abroad</v>
      </c>
      <c r="H349" s="24" t="n">
        <v>0</v>
      </c>
      <c r="I349" s="24" t="n">
        <v>0</v>
      </c>
      <c r="J349" s="24" t="n">
        <v>0</v>
      </c>
      <c r="K349" s="24" t="n">
        <v>0</v>
      </c>
      <c r="L349" s="24" t="n">
        <v>0</v>
      </c>
      <c r="M349" s="24" t="n">
        <v>0</v>
      </c>
      <c r="N349" s="24" t="n">
        <v>0</v>
      </c>
      <c r="O349" s="24" t="n">
        <v>0</v>
      </c>
      <c r="P349" s="24" t="n">
        <v>0</v>
      </c>
      <c r="Q349" s="24" t="n">
        <v>0</v>
      </c>
      <c r="R349" s="24" t="n">
        <v>0</v>
      </c>
      <c r="S349" s="24" t="n">
        <v>0</v>
      </c>
      <c r="T349" s="24" t="n">
        <v>0</v>
      </c>
      <c r="U349" s="24" t="n">
        <v>0</v>
      </c>
      <c r="V349" s="24" t="n">
        <v>435298</v>
      </c>
      <c r="W349" s="24" t="n">
        <f aca="false">N349+U349</f>
        <v>0</v>
      </c>
      <c r="X349" s="32" t="n">
        <f aca="false">IF(V349&gt;0,W349/V349,0)</f>
        <v>0</v>
      </c>
      <c r="Y349" s="9" t="s">
        <v>334</v>
      </c>
    </row>
    <row r="350" customFormat="false" ht="15" hidden="false" customHeight="false" outlineLevel="0" collapsed="false">
      <c r="A350" s="25" t="n">
        <v>2025</v>
      </c>
      <c r="B350" s="9" t="s">
        <v>308</v>
      </c>
      <c r="C350" s="9" t="s">
        <v>168</v>
      </c>
      <c r="D350" s="9" t="str">
        <f aca="false">INDEX(Lookups!$C$5:$C$75,MATCH($C350,Lookups!$A$5:$A$75,0))</f>
        <v>Latin America &amp; Caribbean</v>
      </c>
      <c r="E350" s="9" t="str">
        <f aca="false">INDEX(Lookups!$D$5:$D$75,MATCH($C350,Lookups!$A$5:$A$75,0))</f>
        <v>Southern Cone &amp; Brazil</v>
      </c>
      <c r="F350" s="9" t="str">
        <f aca="false">IF($D350="Latin America &amp; Caribbean","Yes","No")</f>
        <v>Yes</v>
      </c>
      <c r="G350" s="9" t="str">
        <f aca="false">IF($C350="VEN","In-country record","Abroad")</f>
        <v>Abroad</v>
      </c>
      <c r="H350" s="24" t="n">
        <v>94</v>
      </c>
      <c r="I350" s="24" t="n">
        <v>1030</v>
      </c>
      <c r="J350" s="24" t="n">
        <v>810</v>
      </c>
      <c r="K350" s="24" t="n">
        <v>7856</v>
      </c>
      <c r="L350" s="24" t="n">
        <v>1326</v>
      </c>
      <c r="M350" s="24" t="n">
        <v>0</v>
      </c>
      <c r="N350" s="24" t="n">
        <v>11116</v>
      </c>
      <c r="O350" s="24" t="n">
        <v>86</v>
      </c>
      <c r="P350" s="24" t="n">
        <v>1045</v>
      </c>
      <c r="Q350" s="24" t="n">
        <v>869</v>
      </c>
      <c r="R350" s="24" t="n">
        <v>11095</v>
      </c>
      <c r="S350" s="24" t="n">
        <v>787</v>
      </c>
      <c r="T350" s="24" t="n">
        <v>0</v>
      </c>
      <c r="U350" s="24" t="n">
        <v>13882</v>
      </c>
      <c r="V350" s="24" t="n">
        <v>24998</v>
      </c>
      <c r="W350" s="24" t="n">
        <f aca="false">N350+U350</f>
        <v>24998</v>
      </c>
      <c r="X350" s="32" t="n">
        <f aca="false">IF(V350&gt;0,W350/V350,0)</f>
        <v>1</v>
      </c>
      <c r="Y350" s="9"/>
    </row>
    <row r="351" customFormat="false" ht="15" hidden="false" customHeight="false" outlineLevel="0" collapsed="false">
      <c r="A351" s="25" t="n">
        <v>2025</v>
      </c>
      <c r="B351" s="9" t="s">
        <v>309</v>
      </c>
      <c r="C351" s="9" t="s">
        <v>310</v>
      </c>
      <c r="D351" s="9" t="str">
        <f aca="false">INDEX(Lookups!$C$5:$C$75,MATCH($C351,Lookups!$A$5:$A$75,0))</f>
        <v>Venezuela (in-country record)</v>
      </c>
      <c r="E351" s="9" t="str">
        <f aca="false">INDEX(Lookups!$D$5:$D$75,MATCH($C351,Lookups!$A$5:$A$75,0))</f>
        <v>Venezuela (in-country record)</v>
      </c>
      <c r="F351" s="9" t="str">
        <f aca="false">IF($D351="Latin America &amp; Caribbean","Yes","No")</f>
        <v>No</v>
      </c>
      <c r="G351" s="9" t="str">
        <f aca="false">IF($C351="VEN","In-country record","Abroad")</f>
        <v>In-country record</v>
      </c>
      <c r="H351" s="24" t="n">
        <v>6679</v>
      </c>
      <c r="I351" s="24" t="n">
        <v>9300</v>
      </c>
      <c r="J351" s="24" t="n">
        <v>12700</v>
      </c>
      <c r="K351" s="24" t="n">
        <v>73684</v>
      </c>
      <c r="L351" s="24" t="n">
        <v>7138</v>
      </c>
      <c r="M351" s="24" t="n">
        <v>0</v>
      </c>
      <c r="N351" s="24" t="n">
        <v>109501</v>
      </c>
      <c r="O351" s="24" t="n">
        <v>6463</v>
      </c>
      <c r="P351" s="24" t="n">
        <v>8640</v>
      </c>
      <c r="Q351" s="24" t="n">
        <v>10756</v>
      </c>
      <c r="R351" s="24" t="n">
        <v>55114</v>
      </c>
      <c r="S351" s="24" t="n">
        <v>5348</v>
      </c>
      <c r="T351" s="24" t="n">
        <v>0</v>
      </c>
      <c r="U351" s="24" t="n">
        <v>86321</v>
      </c>
      <c r="V351" s="24" t="n">
        <v>195822</v>
      </c>
      <c r="W351" s="24" t="n">
        <f aca="false">N351+U351</f>
        <v>195822</v>
      </c>
      <c r="X351" s="32" t="n">
        <f aca="false">IF(V351&gt;0,W351/V351,0)</f>
        <v>1</v>
      </c>
      <c r="Y351" s="9" t="s">
        <v>335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false"/>
  </sheetPr>
  <dimension ref="A1:H7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4" min="3" style="0" width="28"/>
    <col collapsed="false" customWidth="true" hidden="false" outlineLevel="0" max="5" min="5" style="0" width="50"/>
    <col collapsed="false" customWidth="true" hidden="false" outlineLevel="0" max="6" min="6" style="0" width="3"/>
    <col collapsed="false" customWidth="true" hidden="false" outlineLevel="0" max="8" min="7" style="0" width="30"/>
  </cols>
  <sheetData>
    <row r="1" customFormat="false" ht="19.7" hidden="false" customHeight="false" outlineLevel="0" collapsed="false">
      <c r="A1" s="1" t="s">
        <v>23</v>
      </c>
    </row>
    <row r="2" customFormat="false" ht="15" hidden="false" customHeight="false" outlineLevel="0" collapsed="false">
      <c r="A2" s="6" t="s">
        <v>336</v>
      </c>
    </row>
    <row r="4" customFormat="false" ht="15" hidden="false" customHeight="false" outlineLevel="0" collapsed="false">
      <c r="A4" s="8" t="s">
        <v>144</v>
      </c>
      <c r="B4" s="8" t="s">
        <v>100</v>
      </c>
      <c r="C4" s="8" t="s">
        <v>145</v>
      </c>
      <c r="D4" s="8" t="s">
        <v>75</v>
      </c>
      <c r="E4" s="8" t="s">
        <v>337</v>
      </c>
      <c r="G4" s="8" t="s">
        <v>75</v>
      </c>
      <c r="H4" s="8" t="s">
        <v>145</v>
      </c>
    </row>
    <row r="5" customFormat="false" ht="15" hidden="false" customHeight="false" outlineLevel="0" collapsed="false">
      <c r="A5" s="9" t="s">
        <v>204</v>
      </c>
      <c r="B5" s="9" t="s">
        <v>245</v>
      </c>
      <c r="C5" s="9" t="str">
        <f aca="false">INDEX($H$5:$H$12,MATCH(D5,$G$5:$G$12,0))</f>
        <v>Europe</v>
      </c>
      <c r="D5" s="37" t="s">
        <v>84</v>
      </c>
      <c r="E5" s="9" t="s">
        <v>245</v>
      </c>
      <c r="G5" s="9" t="s">
        <v>79</v>
      </c>
      <c r="H5" s="9" t="s">
        <v>338</v>
      </c>
    </row>
    <row r="6" customFormat="false" ht="15" hidden="false" customHeight="false" outlineLevel="0" collapsed="false">
      <c r="A6" s="9" t="s">
        <v>187</v>
      </c>
      <c r="B6" s="9" t="s">
        <v>252</v>
      </c>
      <c r="C6" s="9" t="str">
        <f aca="false">INDEX($H$5:$H$12,MATCH(D6,$G$5:$G$12,0))</f>
        <v>Europe</v>
      </c>
      <c r="D6" s="37" t="s">
        <v>84</v>
      </c>
      <c r="E6" s="9" t="s">
        <v>252</v>
      </c>
      <c r="G6" s="9" t="s">
        <v>80</v>
      </c>
      <c r="H6" s="9" t="s">
        <v>338</v>
      </c>
    </row>
    <row r="7" customFormat="false" ht="15" hidden="false" customHeight="false" outlineLevel="0" collapsed="false">
      <c r="A7" s="9" t="s">
        <v>181</v>
      </c>
      <c r="B7" s="9" t="s">
        <v>254</v>
      </c>
      <c r="C7" s="9" t="str">
        <f aca="false">INDEX($H$5:$H$12,MATCH(D7,$G$5:$G$12,0))</f>
        <v>Europe</v>
      </c>
      <c r="D7" s="37" t="s">
        <v>84</v>
      </c>
      <c r="E7" s="9" t="s">
        <v>254</v>
      </c>
      <c r="G7" s="9" t="s">
        <v>81</v>
      </c>
      <c r="H7" s="9" t="s">
        <v>338</v>
      </c>
    </row>
    <row r="8" customFormat="false" ht="15" hidden="false" customHeight="false" outlineLevel="0" collapsed="false">
      <c r="A8" s="9" t="s">
        <v>209</v>
      </c>
      <c r="B8" s="9" t="s">
        <v>257</v>
      </c>
      <c r="C8" s="9" t="str">
        <f aca="false">INDEX($H$5:$H$12,MATCH(D8,$G$5:$G$12,0))</f>
        <v>Europe</v>
      </c>
      <c r="D8" s="37" t="s">
        <v>84</v>
      </c>
      <c r="E8" s="9" t="s">
        <v>257</v>
      </c>
      <c r="G8" s="9" t="s">
        <v>82</v>
      </c>
      <c r="H8" s="9" t="s">
        <v>338</v>
      </c>
    </row>
    <row r="9" customFormat="false" ht="15" hidden="false" customHeight="false" outlineLevel="0" collapsed="false">
      <c r="A9" s="9" t="s">
        <v>206</v>
      </c>
      <c r="B9" s="9" t="s">
        <v>327</v>
      </c>
      <c r="C9" s="9" t="str">
        <f aca="false">INDEX($H$5:$H$12,MATCH(D9,$G$5:$G$12,0))</f>
        <v>Europe</v>
      </c>
      <c r="D9" s="37" t="s">
        <v>84</v>
      </c>
      <c r="E9" s="9" t="s">
        <v>327</v>
      </c>
      <c r="G9" s="9" t="s">
        <v>83</v>
      </c>
      <c r="H9" s="9" t="s">
        <v>83</v>
      </c>
    </row>
    <row r="10" customFormat="false" ht="15" hidden="false" customHeight="false" outlineLevel="0" collapsed="false">
      <c r="A10" s="9" t="s">
        <v>200</v>
      </c>
      <c r="B10" s="9" t="s">
        <v>263</v>
      </c>
      <c r="C10" s="9" t="str">
        <f aca="false">INDEX($H$5:$H$12,MATCH(D10,$G$5:$G$12,0))</f>
        <v>Europe</v>
      </c>
      <c r="D10" s="37" t="s">
        <v>84</v>
      </c>
      <c r="E10" s="9" t="s">
        <v>263</v>
      </c>
      <c r="G10" s="9" t="s">
        <v>84</v>
      </c>
      <c r="H10" s="9" t="s">
        <v>84</v>
      </c>
    </row>
    <row r="11" customFormat="false" ht="15" hidden="false" customHeight="false" outlineLevel="0" collapsed="false">
      <c r="A11" s="9" t="s">
        <v>203</v>
      </c>
      <c r="B11" s="9" t="s">
        <v>264</v>
      </c>
      <c r="C11" s="9" t="str">
        <f aca="false">INDEX($H$5:$H$12,MATCH(D11,$G$5:$G$12,0))</f>
        <v>Europe</v>
      </c>
      <c r="D11" s="37" t="s">
        <v>84</v>
      </c>
      <c r="E11" s="9" t="s">
        <v>264</v>
      </c>
      <c r="G11" s="9" t="s">
        <v>85</v>
      </c>
      <c r="H11" s="9" t="s">
        <v>339</v>
      </c>
    </row>
    <row r="12" customFormat="false" ht="15" hidden="false" customHeight="false" outlineLevel="0" collapsed="false">
      <c r="A12" s="9" t="s">
        <v>198</v>
      </c>
      <c r="B12" s="9" t="s">
        <v>268</v>
      </c>
      <c r="C12" s="9" t="str">
        <f aca="false">INDEX($H$5:$H$12,MATCH(D12,$G$5:$G$12,0))</f>
        <v>Europe</v>
      </c>
      <c r="D12" s="37" t="s">
        <v>84</v>
      </c>
      <c r="E12" s="9" t="s">
        <v>268</v>
      </c>
      <c r="G12" s="9" t="s">
        <v>340</v>
      </c>
      <c r="H12" s="9" t="s">
        <v>340</v>
      </c>
    </row>
    <row r="13" customFormat="false" ht="15" hidden="false" customHeight="false" outlineLevel="0" collapsed="false">
      <c r="A13" s="9" t="s">
        <v>179</v>
      </c>
      <c r="B13" s="9" t="s">
        <v>269</v>
      </c>
      <c r="C13" s="9" t="str">
        <f aca="false">INDEX($H$5:$H$12,MATCH(D13,$G$5:$G$12,0))</f>
        <v>Europe</v>
      </c>
      <c r="D13" s="37" t="s">
        <v>84</v>
      </c>
      <c r="E13" s="9" t="s">
        <v>269</v>
      </c>
    </row>
    <row r="14" customFormat="false" ht="15" hidden="false" customHeight="true" outlineLevel="0" collapsed="false">
      <c r="A14" s="9" t="s">
        <v>175</v>
      </c>
      <c r="B14" s="9" t="s">
        <v>270</v>
      </c>
      <c r="C14" s="9" t="str">
        <f aca="false">INDEX($H$5:$H$12,MATCH(D14,$G$5:$G$12,0))</f>
        <v>Europe</v>
      </c>
      <c r="D14" s="37" t="s">
        <v>84</v>
      </c>
      <c r="E14" s="9" t="s">
        <v>270</v>
      </c>
      <c r="G14" s="38" t="s">
        <v>341</v>
      </c>
      <c r="H14" s="38"/>
    </row>
    <row r="15" customFormat="false" ht="15" hidden="false" customHeight="false" outlineLevel="0" collapsed="false">
      <c r="A15" s="9" t="s">
        <v>199</v>
      </c>
      <c r="B15" s="9" t="s">
        <v>271</v>
      </c>
      <c r="C15" s="9" t="str">
        <f aca="false">INDEX($H$5:$H$12,MATCH(D15,$G$5:$G$12,0))</f>
        <v>Europe</v>
      </c>
      <c r="D15" s="37" t="s">
        <v>84</v>
      </c>
      <c r="E15" s="9" t="s">
        <v>271</v>
      </c>
      <c r="G15" s="38"/>
      <c r="H15" s="38"/>
    </row>
    <row r="16" customFormat="false" ht="15" hidden="false" customHeight="false" outlineLevel="0" collapsed="false">
      <c r="A16" s="9" t="s">
        <v>213</v>
      </c>
      <c r="B16" s="9" t="s">
        <v>329</v>
      </c>
      <c r="C16" s="9" t="str">
        <f aca="false">INDEX($H$5:$H$12,MATCH(D16,$G$5:$G$12,0))</f>
        <v>Europe</v>
      </c>
      <c r="D16" s="37" t="s">
        <v>84</v>
      </c>
      <c r="E16" s="9" t="s">
        <v>329</v>
      </c>
      <c r="G16" s="38"/>
      <c r="H16" s="38"/>
    </row>
    <row r="17" customFormat="false" ht="15" hidden="false" customHeight="false" outlineLevel="0" collapsed="false">
      <c r="A17" s="9" t="s">
        <v>180</v>
      </c>
      <c r="B17" s="9" t="s">
        <v>276</v>
      </c>
      <c r="C17" s="9" t="str">
        <f aca="false">INDEX($H$5:$H$12,MATCH(D17,$G$5:$G$12,0))</f>
        <v>Europe</v>
      </c>
      <c r="D17" s="37" t="s">
        <v>84</v>
      </c>
      <c r="E17" s="9" t="s">
        <v>276</v>
      </c>
      <c r="G17" s="38"/>
      <c r="H17" s="38"/>
    </row>
    <row r="18" customFormat="false" ht="15" hidden="false" customHeight="false" outlineLevel="0" collapsed="false">
      <c r="A18" s="9" t="s">
        <v>190</v>
      </c>
      <c r="B18" s="9" t="s">
        <v>279</v>
      </c>
      <c r="C18" s="9" t="str">
        <f aca="false">INDEX($H$5:$H$12,MATCH(D18,$G$5:$G$12,0))</f>
        <v>Europe</v>
      </c>
      <c r="D18" s="37" t="s">
        <v>84</v>
      </c>
      <c r="E18" s="9" t="s">
        <v>279</v>
      </c>
    </row>
    <row r="19" customFormat="false" ht="15" hidden="false" customHeight="false" outlineLevel="0" collapsed="false">
      <c r="A19" s="9" t="s">
        <v>174</v>
      </c>
      <c r="B19" s="9" t="s">
        <v>281</v>
      </c>
      <c r="C19" s="9" t="str">
        <f aca="false">INDEX($H$5:$H$12,MATCH(D19,$G$5:$G$12,0))</f>
        <v>Europe</v>
      </c>
      <c r="D19" s="37" t="s">
        <v>84</v>
      </c>
      <c r="E19" s="9" t="s">
        <v>281</v>
      </c>
    </row>
    <row r="20" customFormat="false" ht="15" hidden="false" customHeight="false" outlineLevel="0" collapsed="false">
      <c r="A20" s="9" t="s">
        <v>208</v>
      </c>
      <c r="B20" s="9" t="s">
        <v>332</v>
      </c>
      <c r="C20" s="9" t="str">
        <f aca="false">INDEX($H$5:$H$12,MATCH(D20,$G$5:$G$12,0))</f>
        <v>Europe</v>
      </c>
      <c r="D20" s="37" t="s">
        <v>84</v>
      </c>
      <c r="E20" s="9" t="s">
        <v>332</v>
      </c>
    </row>
    <row r="21" customFormat="false" ht="15" hidden="false" customHeight="false" outlineLevel="0" collapsed="false">
      <c r="A21" s="9" t="s">
        <v>186</v>
      </c>
      <c r="B21" s="9" t="s">
        <v>285</v>
      </c>
      <c r="C21" s="9" t="str">
        <f aca="false">INDEX($H$5:$H$12,MATCH(D21,$G$5:$G$12,0))</f>
        <v>Europe</v>
      </c>
      <c r="D21" s="37" t="s">
        <v>84</v>
      </c>
      <c r="E21" s="9" t="s">
        <v>285</v>
      </c>
    </row>
    <row r="22" customFormat="false" ht="15" hidden="false" customHeight="false" outlineLevel="0" collapsed="false">
      <c r="A22" s="9" t="s">
        <v>194</v>
      </c>
      <c r="B22" s="9" t="s">
        <v>286</v>
      </c>
      <c r="C22" s="9" t="str">
        <f aca="false">INDEX($H$5:$H$12,MATCH(D22,$G$5:$G$12,0))</f>
        <v>Europe</v>
      </c>
      <c r="D22" s="37" t="s">
        <v>84</v>
      </c>
      <c r="E22" s="9" t="s">
        <v>286</v>
      </c>
    </row>
    <row r="23" customFormat="false" ht="15" hidden="false" customHeight="false" outlineLevel="0" collapsed="false">
      <c r="A23" s="9" t="s">
        <v>212</v>
      </c>
      <c r="B23" s="9" t="s">
        <v>288</v>
      </c>
      <c r="C23" s="9" t="str">
        <f aca="false">INDEX($H$5:$H$12,MATCH(D23,$G$5:$G$12,0))</f>
        <v>Europe</v>
      </c>
      <c r="D23" s="37" t="s">
        <v>84</v>
      </c>
      <c r="E23" s="9" t="s">
        <v>288</v>
      </c>
    </row>
    <row r="24" customFormat="false" ht="15" hidden="false" customHeight="false" outlineLevel="0" collapsed="false">
      <c r="A24" s="9" t="s">
        <v>182</v>
      </c>
      <c r="B24" s="9" t="s">
        <v>289</v>
      </c>
      <c r="C24" s="9" t="str">
        <f aca="false">INDEX($H$5:$H$12,MATCH(D24,$G$5:$G$12,0))</f>
        <v>Europe</v>
      </c>
      <c r="D24" s="37" t="s">
        <v>84</v>
      </c>
      <c r="E24" s="9" t="s">
        <v>342</v>
      </c>
    </row>
    <row r="25" customFormat="false" ht="15" hidden="false" customHeight="false" outlineLevel="0" collapsed="false">
      <c r="A25" s="9" t="s">
        <v>189</v>
      </c>
      <c r="B25" s="9" t="s">
        <v>290</v>
      </c>
      <c r="C25" s="9" t="str">
        <f aca="false">INDEX($H$5:$H$12,MATCH(D25,$G$5:$G$12,0))</f>
        <v>Europe</v>
      </c>
      <c r="D25" s="37" t="s">
        <v>84</v>
      </c>
      <c r="E25" s="9" t="s">
        <v>290</v>
      </c>
    </row>
    <row r="26" customFormat="false" ht="15" hidden="false" customHeight="false" outlineLevel="0" collapsed="false">
      <c r="A26" s="9" t="s">
        <v>196</v>
      </c>
      <c r="B26" s="9" t="s">
        <v>294</v>
      </c>
      <c r="C26" s="9" t="str">
        <f aca="false">INDEX($H$5:$H$12,MATCH(D26,$G$5:$G$12,0))</f>
        <v>Europe</v>
      </c>
      <c r="D26" s="37" t="s">
        <v>84</v>
      </c>
      <c r="E26" s="9" t="s">
        <v>294</v>
      </c>
    </row>
    <row r="27" customFormat="false" ht="15" hidden="false" customHeight="false" outlineLevel="0" collapsed="false">
      <c r="A27" s="9" t="s">
        <v>185</v>
      </c>
      <c r="B27" s="9" t="s">
        <v>295</v>
      </c>
      <c r="C27" s="9" t="str">
        <f aca="false">INDEX($H$5:$H$12,MATCH(D27,$G$5:$G$12,0))</f>
        <v>Europe</v>
      </c>
      <c r="D27" s="37" t="s">
        <v>84</v>
      </c>
      <c r="E27" s="9" t="s">
        <v>295</v>
      </c>
    </row>
    <row r="28" customFormat="false" ht="15" hidden="false" customHeight="false" outlineLevel="0" collapsed="false">
      <c r="A28" s="9" t="s">
        <v>207</v>
      </c>
      <c r="B28" s="9" t="s">
        <v>333</v>
      </c>
      <c r="C28" s="9" t="str">
        <f aca="false">INDEX($H$5:$H$12,MATCH(D28,$G$5:$G$12,0))</f>
        <v>Europe</v>
      </c>
      <c r="D28" s="37" t="s">
        <v>84</v>
      </c>
      <c r="E28" s="9" t="s">
        <v>333</v>
      </c>
    </row>
    <row r="29" customFormat="false" ht="15" hidden="false" customHeight="false" outlineLevel="0" collapsed="false">
      <c r="A29" s="9" t="s">
        <v>161</v>
      </c>
      <c r="B29" s="9" t="s">
        <v>300</v>
      </c>
      <c r="C29" s="9" t="str">
        <f aca="false">INDEX($H$5:$H$12,MATCH(D29,$G$5:$G$12,0))</f>
        <v>Europe</v>
      </c>
      <c r="D29" s="37" t="s">
        <v>84</v>
      </c>
      <c r="E29" s="9" t="s">
        <v>300</v>
      </c>
    </row>
    <row r="30" customFormat="false" ht="15" hidden="false" customHeight="false" outlineLevel="0" collapsed="false">
      <c r="A30" s="9" t="s">
        <v>193</v>
      </c>
      <c r="B30" s="9" t="s">
        <v>303</v>
      </c>
      <c r="C30" s="9" t="str">
        <f aca="false">INDEX($H$5:$H$12,MATCH(D30,$G$5:$G$12,0))</f>
        <v>Europe</v>
      </c>
      <c r="D30" s="37" t="s">
        <v>84</v>
      </c>
      <c r="E30" s="9" t="s">
        <v>303</v>
      </c>
    </row>
    <row r="31" customFormat="false" ht="15" hidden="false" customHeight="false" outlineLevel="0" collapsed="false">
      <c r="A31" s="9" t="s">
        <v>188</v>
      </c>
      <c r="B31" s="9" t="s">
        <v>304</v>
      </c>
      <c r="C31" s="9" t="str">
        <f aca="false">INDEX($H$5:$H$12,MATCH(D31,$G$5:$G$12,0))</f>
        <v>Europe</v>
      </c>
      <c r="D31" s="37" t="s">
        <v>84</v>
      </c>
      <c r="E31" s="9" t="s">
        <v>304</v>
      </c>
    </row>
    <row r="32" customFormat="false" ht="15" hidden="false" customHeight="false" outlineLevel="0" collapsed="false">
      <c r="A32" s="9" t="s">
        <v>192</v>
      </c>
      <c r="B32" s="9" t="s">
        <v>306</v>
      </c>
      <c r="C32" s="9" t="str">
        <f aca="false">INDEX($H$5:$H$12,MATCH(D32,$G$5:$G$12,0))</f>
        <v>Europe</v>
      </c>
      <c r="D32" s="37" t="s">
        <v>84</v>
      </c>
      <c r="E32" s="9" t="s">
        <v>343</v>
      </c>
    </row>
    <row r="33" customFormat="false" ht="15" hidden="false" customHeight="false" outlineLevel="0" collapsed="false">
      <c r="A33" s="9" t="s">
        <v>171</v>
      </c>
      <c r="B33" s="9" t="s">
        <v>255</v>
      </c>
      <c r="C33" s="9" t="str">
        <f aca="false">INDEX($H$5:$H$12,MATCH(D33,$G$5:$G$12,0))</f>
        <v>Latin America &amp; Caribbean</v>
      </c>
      <c r="D33" s="37" t="s">
        <v>79</v>
      </c>
      <c r="E33" s="9" t="s">
        <v>344</v>
      </c>
    </row>
    <row r="34" customFormat="false" ht="15" hidden="false" customHeight="false" outlineLevel="0" collapsed="false">
      <c r="A34" s="9" t="s">
        <v>155</v>
      </c>
      <c r="B34" s="9" t="s">
        <v>101</v>
      </c>
      <c r="C34" s="9" t="str">
        <f aca="false">INDEX($H$5:$H$12,MATCH(D34,$G$5:$G$12,0))</f>
        <v>Latin America &amp; Caribbean</v>
      </c>
      <c r="D34" s="37" t="s">
        <v>79</v>
      </c>
      <c r="E34" s="9" t="s">
        <v>101</v>
      </c>
    </row>
    <row r="35" customFormat="false" ht="15" hidden="false" customHeight="false" outlineLevel="0" collapsed="false">
      <c r="A35" s="9" t="s">
        <v>159</v>
      </c>
      <c r="B35" s="9" t="s">
        <v>266</v>
      </c>
      <c r="C35" s="9" t="str">
        <f aca="false">INDEX($H$5:$H$12,MATCH(D35,$G$5:$G$12,0))</f>
        <v>Latin America &amp; Caribbean</v>
      </c>
      <c r="D35" s="37" t="s">
        <v>79</v>
      </c>
      <c r="E35" s="9" t="s">
        <v>266</v>
      </c>
    </row>
    <row r="36" customFormat="false" ht="15" hidden="false" customHeight="false" outlineLevel="0" collapsed="false">
      <c r="A36" s="9" t="s">
        <v>156</v>
      </c>
      <c r="B36" s="9" t="s">
        <v>293</v>
      </c>
      <c r="C36" s="9" t="str">
        <f aca="false">INDEX($H$5:$H$12,MATCH(D36,$G$5:$G$12,0))</f>
        <v>Latin America &amp; Caribbean</v>
      </c>
      <c r="D36" s="37" t="s">
        <v>79</v>
      </c>
      <c r="E36" s="9" t="s">
        <v>293</v>
      </c>
    </row>
    <row r="37" customFormat="false" ht="15" hidden="false" customHeight="false" outlineLevel="0" collapsed="false">
      <c r="A37" s="9" t="s">
        <v>211</v>
      </c>
      <c r="B37" s="9" t="s">
        <v>246</v>
      </c>
      <c r="C37" s="9" t="str">
        <f aca="false">INDEX($H$5:$H$12,MATCH(D37,$G$5:$G$12,0))</f>
        <v>Latin America &amp; Caribbean</v>
      </c>
      <c r="D37" s="37" t="s">
        <v>82</v>
      </c>
      <c r="E37" s="9" t="s">
        <v>246</v>
      </c>
    </row>
    <row r="38" customFormat="false" ht="15" hidden="false" customHeight="false" outlineLevel="0" collapsed="false">
      <c r="A38" s="9" t="s">
        <v>214</v>
      </c>
      <c r="B38" s="9" t="s">
        <v>317</v>
      </c>
      <c r="C38" s="9" t="str">
        <f aca="false">INDEX($H$5:$H$12,MATCH(D38,$G$5:$G$12,0))</f>
        <v>Latin America &amp; Caribbean</v>
      </c>
      <c r="D38" s="37" t="s">
        <v>82</v>
      </c>
      <c r="E38" s="9" t="s">
        <v>317</v>
      </c>
    </row>
    <row r="39" customFormat="false" ht="15" hidden="false" customHeight="false" outlineLevel="0" collapsed="false">
      <c r="A39" s="9" t="s">
        <v>173</v>
      </c>
      <c r="B39" s="9" t="s">
        <v>249</v>
      </c>
      <c r="C39" s="9" t="str">
        <f aca="false">INDEX($H$5:$H$12,MATCH(D39,$G$5:$G$12,0))</f>
        <v>Latin America &amp; Caribbean</v>
      </c>
      <c r="D39" s="37" t="s">
        <v>82</v>
      </c>
      <c r="E39" s="9" t="s">
        <v>249</v>
      </c>
    </row>
    <row r="40" customFormat="false" ht="15" hidden="false" customHeight="false" outlineLevel="0" collapsed="false">
      <c r="A40" s="9" t="s">
        <v>210</v>
      </c>
      <c r="B40" s="9" t="s">
        <v>253</v>
      </c>
      <c r="C40" s="9" t="str">
        <f aca="false">INDEX($H$5:$H$12,MATCH(D40,$G$5:$G$12,0))</f>
        <v>Latin America &amp; Caribbean</v>
      </c>
      <c r="D40" s="37" t="s">
        <v>82</v>
      </c>
      <c r="E40" s="9" t="s">
        <v>253</v>
      </c>
    </row>
    <row r="41" customFormat="false" ht="15" hidden="false" customHeight="false" outlineLevel="0" collapsed="false">
      <c r="A41" s="9" t="s">
        <v>195</v>
      </c>
      <c r="B41" s="9" t="s">
        <v>259</v>
      </c>
      <c r="C41" s="9" t="str">
        <f aca="false">INDEX($H$5:$H$12,MATCH(D41,$G$5:$G$12,0))</f>
        <v>Latin America &amp; Caribbean</v>
      </c>
      <c r="D41" s="37" t="s">
        <v>82</v>
      </c>
      <c r="E41" s="9" t="s">
        <v>259</v>
      </c>
    </row>
    <row r="42" customFormat="false" ht="15" hidden="false" customHeight="false" outlineLevel="0" collapsed="false">
      <c r="A42" s="9" t="s">
        <v>177</v>
      </c>
      <c r="B42" s="9" t="s">
        <v>262</v>
      </c>
      <c r="C42" s="9" t="str">
        <f aca="false">INDEX($H$5:$H$12,MATCH(D42,$G$5:$G$12,0))</f>
        <v>Latin America &amp; Caribbean</v>
      </c>
      <c r="D42" s="37" t="s">
        <v>82</v>
      </c>
      <c r="E42" s="9" t="s">
        <v>345</v>
      </c>
    </row>
    <row r="43" customFormat="false" ht="15" hidden="false" customHeight="false" outlineLevel="0" collapsed="false">
      <c r="A43" s="9" t="s">
        <v>164</v>
      </c>
      <c r="B43" s="9" t="s">
        <v>265</v>
      </c>
      <c r="C43" s="9" t="str">
        <f aca="false">INDEX($H$5:$H$12,MATCH(D43,$G$5:$G$12,0))</f>
        <v>Latin America &amp; Caribbean</v>
      </c>
      <c r="D43" s="37" t="s">
        <v>82</v>
      </c>
      <c r="E43" s="9" t="s">
        <v>346</v>
      </c>
    </row>
    <row r="44" customFormat="false" ht="15" hidden="false" customHeight="false" outlineLevel="0" collapsed="false">
      <c r="A44" s="9" t="s">
        <v>218</v>
      </c>
      <c r="B44" s="9" t="s">
        <v>272</v>
      </c>
      <c r="C44" s="9" t="str">
        <f aca="false">INDEX($H$5:$H$12,MATCH(D44,$G$5:$G$12,0))</f>
        <v>Latin America &amp; Caribbean</v>
      </c>
      <c r="D44" s="37" t="s">
        <v>82</v>
      </c>
      <c r="E44" s="9" t="s">
        <v>272</v>
      </c>
    </row>
    <row r="45" customFormat="false" ht="15" hidden="false" customHeight="false" outlineLevel="0" collapsed="false">
      <c r="A45" s="9" t="s">
        <v>169</v>
      </c>
      <c r="B45" s="9" t="s">
        <v>274</v>
      </c>
      <c r="C45" s="9" t="str">
        <f aca="false">INDEX($H$5:$H$12,MATCH(D45,$G$5:$G$12,0))</f>
        <v>Latin America &amp; Caribbean</v>
      </c>
      <c r="D45" s="37" t="s">
        <v>82</v>
      </c>
      <c r="E45" s="9" t="s">
        <v>274</v>
      </c>
    </row>
    <row r="46" customFormat="false" ht="15" hidden="false" customHeight="false" outlineLevel="0" collapsed="false">
      <c r="A46" s="9" t="s">
        <v>217</v>
      </c>
      <c r="B46" s="9" t="s">
        <v>282</v>
      </c>
      <c r="C46" s="9" t="str">
        <f aca="false">INDEX($H$5:$H$12,MATCH(D46,$G$5:$G$12,0))</f>
        <v>Latin America &amp; Caribbean</v>
      </c>
      <c r="D46" s="37" t="s">
        <v>82</v>
      </c>
      <c r="E46" s="9" t="s">
        <v>282</v>
      </c>
    </row>
    <row r="47" customFormat="false" ht="15" hidden="false" customHeight="false" outlineLevel="0" collapsed="false">
      <c r="A47" s="9" t="s">
        <v>216</v>
      </c>
      <c r="B47" s="9" t="s">
        <v>296</v>
      </c>
      <c r="C47" s="9" t="str">
        <f aca="false">INDEX($H$5:$H$12,MATCH(D47,$G$5:$G$12,0))</f>
        <v>Latin America &amp; Caribbean</v>
      </c>
      <c r="D47" s="37" t="s">
        <v>82</v>
      </c>
      <c r="E47" s="9" t="s">
        <v>296</v>
      </c>
    </row>
    <row r="48" customFormat="false" ht="15" hidden="false" customHeight="false" outlineLevel="0" collapsed="false">
      <c r="A48" s="9" t="s">
        <v>215</v>
      </c>
      <c r="B48" s="9" t="s">
        <v>297</v>
      </c>
      <c r="C48" s="9" t="str">
        <f aca="false">INDEX($H$5:$H$12,MATCH(D48,$G$5:$G$12,0))</f>
        <v>Latin America &amp; Caribbean</v>
      </c>
      <c r="D48" s="37" t="s">
        <v>82</v>
      </c>
      <c r="E48" s="9" t="s">
        <v>297</v>
      </c>
    </row>
    <row r="49" customFormat="false" ht="15" hidden="false" customHeight="false" outlineLevel="0" collapsed="false">
      <c r="A49" s="9" t="s">
        <v>191</v>
      </c>
      <c r="B49" s="9" t="s">
        <v>298</v>
      </c>
      <c r="C49" s="9" t="str">
        <f aca="false">INDEX($H$5:$H$12,MATCH(D49,$G$5:$G$12,0))</f>
        <v>Latin America &amp; Caribbean</v>
      </c>
      <c r="D49" s="37" t="s">
        <v>82</v>
      </c>
      <c r="E49" s="9" t="s">
        <v>298</v>
      </c>
    </row>
    <row r="50" customFormat="false" ht="15" hidden="false" customHeight="false" outlineLevel="0" collapsed="false">
      <c r="A50" s="9" t="s">
        <v>183</v>
      </c>
      <c r="B50" s="9" t="s">
        <v>302</v>
      </c>
      <c r="C50" s="9" t="str">
        <f aca="false">INDEX($H$5:$H$12,MATCH(D50,$G$5:$G$12,0))</f>
        <v>Latin America &amp; Caribbean</v>
      </c>
      <c r="D50" s="37" t="s">
        <v>82</v>
      </c>
      <c r="E50" s="9" t="s">
        <v>302</v>
      </c>
    </row>
    <row r="51" customFormat="false" ht="15" hidden="false" customHeight="false" outlineLevel="0" collapsed="false">
      <c r="A51" s="9" t="s">
        <v>167</v>
      </c>
      <c r="B51" s="9" t="s">
        <v>305</v>
      </c>
      <c r="C51" s="9" t="str">
        <f aca="false">INDEX($H$5:$H$12,MATCH(D51,$G$5:$G$12,0))</f>
        <v>Latin America &amp; Caribbean</v>
      </c>
      <c r="D51" s="37" t="s">
        <v>82</v>
      </c>
      <c r="E51" s="9" t="s">
        <v>305</v>
      </c>
    </row>
    <row r="52" customFormat="false" ht="15" hidden="false" customHeight="false" outlineLevel="0" collapsed="false">
      <c r="A52" s="9" t="s">
        <v>201</v>
      </c>
      <c r="B52" s="9" t="s">
        <v>331</v>
      </c>
      <c r="C52" s="9" t="str">
        <f aca="false">INDEX($H$5:$H$12,MATCH(D52,$G$5:$G$12,0))</f>
        <v>Latin America &amp; Caribbean</v>
      </c>
      <c r="D52" s="37" t="s">
        <v>81</v>
      </c>
      <c r="E52" s="9" t="s">
        <v>331</v>
      </c>
    </row>
    <row r="53" customFormat="false" ht="15" hidden="false" customHeight="false" outlineLevel="0" collapsed="false">
      <c r="A53" s="9" t="s">
        <v>166</v>
      </c>
      <c r="B53" s="9" t="s">
        <v>261</v>
      </c>
      <c r="C53" s="9" t="str">
        <f aca="false">INDEX($H$5:$H$12,MATCH(D53,$G$5:$G$12,0))</f>
        <v>Latin America &amp; Caribbean</v>
      </c>
      <c r="D53" s="37" t="s">
        <v>81</v>
      </c>
      <c r="E53" s="9" t="s">
        <v>261</v>
      </c>
    </row>
    <row r="54" customFormat="false" ht="15" hidden="false" customHeight="false" outlineLevel="0" collapsed="false">
      <c r="A54" s="9" t="s">
        <v>197</v>
      </c>
      <c r="B54" s="9" t="s">
        <v>267</v>
      </c>
      <c r="C54" s="9" t="str">
        <f aca="false">INDEX($H$5:$H$12,MATCH(D54,$G$5:$G$12,0))</f>
        <v>Latin America &amp; Caribbean</v>
      </c>
      <c r="D54" s="37" t="s">
        <v>81</v>
      </c>
      <c r="E54" s="9" t="s">
        <v>267</v>
      </c>
    </row>
    <row r="55" customFormat="false" ht="15" hidden="false" customHeight="false" outlineLevel="0" collapsed="false">
      <c r="A55" s="9" t="s">
        <v>172</v>
      </c>
      <c r="B55" s="9" t="s">
        <v>273</v>
      </c>
      <c r="C55" s="9" t="str">
        <f aca="false">INDEX($H$5:$H$12,MATCH(D55,$G$5:$G$12,0))</f>
        <v>Latin America &amp; Caribbean</v>
      </c>
      <c r="D55" s="37" t="s">
        <v>81</v>
      </c>
      <c r="E55" s="9" t="s">
        <v>273</v>
      </c>
    </row>
    <row r="56" customFormat="false" ht="15" hidden="false" customHeight="false" outlineLevel="0" collapsed="false">
      <c r="A56" s="9" t="s">
        <v>170</v>
      </c>
      <c r="B56" s="9" t="s">
        <v>275</v>
      </c>
      <c r="C56" s="9" t="str">
        <f aca="false">INDEX($H$5:$H$12,MATCH(D56,$G$5:$G$12,0))</f>
        <v>Latin America &amp; Caribbean</v>
      </c>
      <c r="D56" s="37" t="s">
        <v>81</v>
      </c>
      <c r="E56" s="9" t="s">
        <v>275</v>
      </c>
    </row>
    <row r="57" customFormat="false" ht="15" hidden="false" customHeight="false" outlineLevel="0" collapsed="false">
      <c r="A57" s="9" t="s">
        <v>163</v>
      </c>
      <c r="B57" s="9" t="s">
        <v>287</v>
      </c>
      <c r="C57" s="9" t="str">
        <f aca="false">INDEX($H$5:$H$12,MATCH(D57,$G$5:$G$12,0))</f>
        <v>Latin America &amp; Caribbean</v>
      </c>
      <c r="D57" s="37" t="s">
        <v>81</v>
      </c>
      <c r="E57" s="9" t="s">
        <v>287</v>
      </c>
    </row>
    <row r="58" customFormat="false" ht="15" hidden="false" customHeight="false" outlineLevel="0" collapsed="false">
      <c r="A58" s="9" t="s">
        <v>165</v>
      </c>
      <c r="B58" s="9" t="s">
        <v>291</v>
      </c>
      <c r="C58" s="9" t="str">
        <f aca="false">INDEX($H$5:$H$12,MATCH(D58,$G$5:$G$12,0))</f>
        <v>Latin America &amp; Caribbean</v>
      </c>
      <c r="D58" s="37" t="s">
        <v>81</v>
      </c>
      <c r="E58" s="9" t="s">
        <v>291</v>
      </c>
    </row>
    <row r="59" customFormat="false" ht="15" hidden="false" customHeight="false" outlineLevel="0" collapsed="false">
      <c r="A59" s="9" t="s">
        <v>162</v>
      </c>
      <c r="B59" s="9" t="s">
        <v>247</v>
      </c>
      <c r="C59" s="9" t="str">
        <f aca="false">INDEX($H$5:$H$12,MATCH(D59,$G$5:$G$12,0))</f>
        <v>Latin America &amp; Caribbean</v>
      </c>
      <c r="D59" s="37" t="s">
        <v>80</v>
      </c>
      <c r="E59" s="9" t="s">
        <v>247</v>
      </c>
    </row>
    <row r="60" customFormat="false" ht="15" hidden="false" customHeight="false" outlineLevel="0" collapsed="false">
      <c r="A60" s="9" t="s">
        <v>157</v>
      </c>
      <c r="B60" s="9" t="s">
        <v>256</v>
      </c>
      <c r="C60" s="9" t="str">
        <f aca="false">INDEX($H$5:$H$12,MATCH(D60,$G$5:$G$12,0))</f>
        <v>Latin America &amp; Caribbean</v>
      </c>
      <c r="D60" s="37" t="s">
        <v>80</v>
      </c>
      <c r="E60" s="9" t="s">
        <v>256</v>
      </c>
    </row>
    <row r="61" customFormat="false" ht="15" hidden="false" customHeight="false" outlineLevel="0" collapsed="false">
      <c r="A61" s="9" t="s">
        <v>158</v>
      </c>
      <c r="B61" s="9" t="s">
        <v>260</v>
      </c>
      <c r="C61" s="9" t="str">
        <f aca="false">INDEX($H$5:$H$12,MATCH(D61,$G$5:$G$12,0))</f>
        <v>Latin America &amp; Caribbean</v>
      </c>
      <c r="D61" s="37" t="s">
        <v>80</v>
      </c>
      <c r="E61" s="9" t="s">
        <v>260</v>
      </c>
    </row>
    <row r="62" customFormat="false" ht="15" hidden="false" customHeight="false" outlineLevel="0" collapsed="false">
      <c r="A62" s="9" t="s">
        <v>178</v>
      </c>
      <c r="B62" s="9" t="s">
        <v>292</v>
      </c>
      <c r="C62" s="9" t="str">
        <f aca="false">INDEX($H$5:$H$12,MATCH(D62,$G$5:$G$12,0))</f>
        <v>Latin America &amp; Caribbean</v>
      </c>
      <c r="D62" s="37" t="s">
        <v>80</v>
      </c>
      <c r="E62" s="9" t="s">
        <v>292</v>
      </c>
    </row>
    <row r="63" customFormat="false" ht="15" hidden="false" customHeight="false" outlineLevel="0" collapsed="false">
      <c r="A63" s="9" t="s">
        <v>168</v>
      </c>
      <c r="B63" s="9" t="s">
        <v>308</v>
      </c>
      <c r="C63" s="9" t="str">
        <f aca="false">INDEX($H$5:$H$12,MATCH(D63,$G$5:$G$12,0))</f>
        <v>Latin America &amp; Caribbean</v>
      </c>
      <c r="D63" s="37" t="s">
        <v>80</v>
      </c>
      <c r="E63" s="9" t="s">
        <v>308</v>
      </c>
    </row>
    <row r="64" customFormat="false" ht="15" hidden="false" customHeight="false" outlineLevel="0" collapsed="false">
      <c r="A64" s="9" t="s">
        <v>176</v>
      </c>
      <c r="B64" s="9" t="s">
        <v>258</v>
      </c>
      <c r="C64" s="9" t="str">
        <f aca="false">INDEX($H$5:$H$12,MATCH(D64,$G$5:$G$12,0))</f>
        <v>North America</v>
      </c>
      <c r="D64" s="37" t="s">
        <v>83</v>
      </c>
      <c r="E64" s="9" t="s">
        <v>258</v>
      </c>
    </row>
    <row r="65" customFormat="false" ht="15" hidden="false" customHeight="false" outlineLevel="0" collapsed="false">
      <c r="A65" s="9" t="s">
        <v>160</v>
      </c>
      <c r="B65" s="9" t="s">
        <v>307</v>
      </c>
      <c r="C65" s="9" t="str">
        <f aca="false">INDEX($H$5:$H$12,MATCH(D65,$G$5:$G$12,0))</f>
        <v>North America</v>
      </c>
      <c r="D65" s="37" t="s">
        <v>83</v>
      </c>
      <c r="E65" s="9" t="s">
        <v>347</v>
      </c>
    </row>
    <row r="66" customFormat="false" ht="15" hidden="false" customHeight="false" outlineLevel="0" collapsed="false">
      <c r="A66" s="9" t="s">
        <v>184</v>
      </c>
      <c r="B66" s="9" t="s">
        <v>251</v>
      </c>
      <c r="C66" s="9" t="str">
        <f aca="false">INDEX($H$5:$H$12,MATCH(D66,$G$5:$G$12,0))</f>
        <v>Other regions</v>
      </c>
      <c r="D66" s="37" t="s">
        <v>85</v>
      </c>
      <c r="E66" s="9" t="s">
        <v>251</v>
      </c>
    </row>
    <row r="67" customFormat="false" ht="15" hidden="false" customHeight="false" outlineLevel="0" collapsed="false">
      <c r="A67" s="9" t="s">
        <v>202</v>
      </c>
      <c r="B67" s="9" t="s">
        <v>277</v>
      </c>
      <c r="C67" s="9" t="str">
        <f aca="false">INDEX($H$5:$H$12,MATCH(D67,$G$5:$G$12,0))</f>
        <v>Other regions</v>
      </c>
      <c r="D67" s="37" t="s">
        <v>85</v>
      </c>
      <c r="E67" s="9" t="s">
        <v>277</v>
      </c>
    </row>
    <row r="68" customFormat="false" ht="15" hidden="false" customHeight="false" outlineLevel="0" collapsed="false">
      <c r="A68" s="9" t="s">
        <v>220</v>
      </c>
      <c r="B68" s="9" t="s">
        <v>278</v>
      </c>
      <c r="C68" s="9" t="str">
        <f aca="false">INDEX($H$5:$H$12,MATCH(D68,$G$5:$G$12,0))</f>
        <v>Other regions</v>
      </c>
      <c r="D68" s="37" t="s">
        <v>85</v>
      </c>
      <c r="E68" s="9" t="s">
        <v>278</v>
      </c>
    </row>
    <row r="69" customFormat="false" ht="15" hidden="false" customHeight="false" outlineLevel="0" collapsed="false">
      <c r="A69" s="9" t="s">
        <v>219</v>
      </c>
      <c r="B69" s="9" t="s">
        <v>280</v>
      </c>
      <c r="C69" s="9" t="str">
        <f aca="false">INDEX($H$5:$H$12,MATCH(D69,$G$5:$G$12,0))</f>
        <v>Other regions</v>
      </c>
      <c r="D69" s="37" t="s">
        <v>85</v>
      </c>
      <c r="E69" s="9" t="s">
        <v>280</v>
      </c>
    </row>
    <row r="70" customFormat="false" ht="15" hidden="false" customHeight="false" outlineLevel="0" collapsed="false">
      <c r="A70" s="9" t="s">
        <v>221</v>
      </c>
      <c r="B70" s="9" t="s">
        <v>283</v>
      </c>
      <c r="C70" s="9" t="str">
        <f aca="false">INDEX($H$5:$H$12,MATCH(D70,$G$5:$G$12,0))</f>
        <v>Other regions</v>
      </c>
      <c r="D70" s="37" t="s">
        <v>85</v>
      </c>
      <c r="E70" s="9" t="s">
        <v>283</v>
      </c>
    </row>
    <row r="71" customFormat="false" ht="15" hidden="false" customHeight="false" outlineLevel="0" collapsed="false">
      <c r="A71" s="9" t="s">
        <v>222</v>
      </c>
      <c r="B71" s="9" t="s">
        <v>315</v>
      </c>
      <c r="C71" s="9" t="str">
        <f aca="false">INDEX($H$5:$H$12,MATCH(D71,$G$5:$G$12,0))</f>
        <v>Other regions</v>
      </c>
      <c r="D71" s="37" t="s">
        <v>85</v>
      </c>
      <c r="E71" s="9" t="s">
        <v>315</v>
      </c>
    </row>
    <row r="72" customFormat="false" ht="15" hidden="false" customHeight="false" outlineLevel="0" collapsed="false">
      <c r="A72" s="9" t="s">
        <v>223</v>
      </c>
      <c r="B72" s="9" t="s">
        <v>284</v>
      </c>
      <c r="C72" s="9" t="str">
        <f aca="false">INDEX($H$5:$H$12,MATCH(D72,$G$5:$G$12,0))</f>
        <v>Other regions</v>
      </c>
      <c r="D72" s="37" t="s">
        <v>85</v>
      </c>
      <c r="E72" s="9" t="s">
        <v>284</v>
      </c>
    </row>
    <row r="73" customFormat="false" ht="15" hidden="false" customHeight="false" outlineLevel="0" collapsed="false">
      <c r="A73" s="9" t="s">
        <v>205</v>
      </c>
      <c r="B73" s="9" t="s">
        <v>316</v>
      </c>
      <c r="C73" s="9" t="str">
        <f aca="false">INDEX($H$5:$H$12,MATCH(D73,$G$5:$G$12,0))</f>
        <v>Other regions</v>
      </c>
      <c r="D73" s="37" t="s">
        <v>85</v>
      </c>
      <c r="E73" s="9" t="s">
        <v>316</v>
      </c>
    </row>
    <row r="74" customFormat="false" ht="15" hidden="false" customHeight="false" outlineLevel="0" collapsed="false">
      <c r="A74" s="9" t="s">
        <v>224</v>
      </c>
      <c r="B74" s="9" t="s">
        <v>299</v>
      </c>
      <c r="C74" s="9" t="str">
        <f aca="false">INDEX($H$5:$H$12,MATCH(D74,$G$5:$G$12,0))</f>
        <v>Other regions</v>
      </c>
      <c r="D74" s="37" t="s">
        <v>85</v>
      </c>
      <c r="E74" s="9" t="s">
        <v>348</v>
      </c>
    </row>
    <row r="75" customFormat="false" ht="15" hidden="false" customHeight="false" outlineLevel="0" collapsed="false">
      <c r="A75" s="9" t="s">
        <v>310</v>
      </c>
      <c r="B75" s="9" t="s">
        <v>309</v>
      </c>
      <c r="C75" s="9" t="str">
        <f aca="false">INDEX($H$5:$H$12,MATCH(D75,$G$5:$G$12,0))</f>
        <v>Venezuela (in-country record)</v>
      </c>
      <c r="D75" s="37" t="s">
        <v>340</v>
      </c>
      <c r="E75" s="9" t="s">
        <v>349</v>
      </c>
    </row>
  </sheetData>
  <mergeCells count="1">
    <mergeCell ref="G14:H17"/>
  </mergeCells>
  <dataValidations count="1">
    <dataValidation allowBlank="false" errorStyle="stop" operator="between" showDropDown="false" showErrorMessage="false" showInputMessage="false" sqref="D5:D75" type="list">
      <formula1>$G$5:$G$12</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34948"/>
    <pageSetUpPr fitToPage="false"/>
  </sheetPr>
  <dimension ref="A1:L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0"/>
    <col collapsed="false" customWidth="true" hidden="false" outlineLevel="0" max="3" min="3" style="0" width="24"/>
    <col collapsed="false" customWidth="true" hidden="false" outlineLevel="0" max="4" min="4" style="0" width="62"/>
    <col collapsed="false" customWidth="true" hidden="false" outlineLevel="0" max="5" min="5" style="0" width="48"/>
    <col collapsed="false" customWidth="true" hidden="false" outlineLevel="0" max="6" min="6" style="0" width="44"/>
    <col collapsed="false" customWidth="true" hidden="false" outlineLevel="0" max="7" min="7" style="0" width="3"/>
    <col collapsed="false" customWidth="true" hidden="false" outlineLevel="0" max="8" min="8" style="0" width="52"/>
    <col collapsed="false" customWidth="true" hidden="false" outlineLevel="0" max="9" min="9" style="0" width="14"/>
    <col collapsed="false" customWidth="true" hidden="false" outlineLevel="0" max="10" min="10" style="0" width="16"/>
    <col collapsed="false" customWidth="true" hidden="false" outlineLevel="0" max="11" min="11" style="0" width="12"/>
    <col collapsed="false" customWidth="true" hidden="false" outlineLevel="0" max="12" min="12" style="0" width="14"/>
  </cols>
  <sheetData>
    <row r="1" customFormat="false" ht="19.7" hidden="false" customHeight="false" outlineLevel="0" collapsed="false">
      <c r="A1" s="1" t="s">
        <v>350</v>
      </c>
    </row>
    <row r="2" customFormat="false" ht="15" hidden="false" customHeight="false" outlineLevel="0" collapsed="false">
      <c r="A2" s="6" t="s">
        <v>351</v>
      </c>
    </row>
    <row r="4" customFormat="false" ht="15" hidden="false" customHeight="false" outlineLevel="0" collapsed="false">
      <c r="A4" s="7" t="s">
        <v>352</v>
      </c>
      <c r="H4" s="7" t="s">
        <v>353</v>
      </c>
    </row>
    <row r="5" customFormat="false" ht="24" hidden="false" customHeight="true" outlineLevel="0" collapsed="false">
      <c r="A5" s="8" t="s">
        <v>354</v>
      </c>
      <c r="B5" s="8" t="s">
        <v>355</v>
      </c>
      <c r="C5" s="8" t="s">
        <v>356</v>
      </c>
      <c r="D5" s="8" t="s">
        <v>357</v>
      </c>
      <c r="E5" s="8" t="s">
        <v>358</v>
      </c>
      <c r="F5" s="8" t="s">
        <v>359</v>
      </c>
      <c r="H5" s="8" t="s">
        <v>360</v>
      </c>
      <c r="I5" s="8" t="s">
        <v>361</v>
      </c>
      <c r="J5" s="8" t="s">
        <v>362</v>
      </c>
    </row>
    <row r="6" customFormat="false" ht="84" hidden="false" customHeight="true" outlineLevel="0" collapsed="false">
      <c r="A6" s="39" t="n">
        <v>1</v>
      </c>
      <c r="B6" s="40" t="s">
        <v>363</v>
      </c>
      <c r="C6" s="3" t="s">
        <v>364</v>
      </c>
      <c r="D6" s="3" t="s">
        <v>365</v>
      </c>
      <c r="E6" s="3" t="s">
        <v>366</v>
      </c>
      <c r="F6" s="3" t="s">
        <v>367</v>
      </c>
      <c r="H6" s="9" t="s">
        <v>368</v>
      </c>
      <c r="I6" s="24" t="n">
        <f aca="false">COUNTA(Data!$C$2:$C$351)</f>
        <v>350</v>
      </c>
      <c r="J6" s="24" t="n">
        <v>350</v>
      </c>
    </row>
    <row r="7" customFormat="false" ht="42" hidden="false" customHeight="true" outlineLevel="0" collapsed="false">
      <c r="A7" s="39" t="n">
        <v>2</v>
      </c>
      <c r="B7" s="40" t="s">
        <v>363</v>
      </c>
      <c r="C7" s="3" t="s">
        <v>364</v>
      </c>
      <c r="D7" s="3" t="s">
        <v>369</v>
      </c>
      <c r="E7" s="3" t="s">
        <v>370</v>
      </c>
      <c r="F7" s="3" t="s">
        <v>371</v>
      </c>
      <c r="H7" s="9" t="s">
        <v>372</v>
      </c>
      <c r="I7" s="24" t="n">
        <f aca="false">SUMPRODUCT(--(COUNTIFS(Data!$A$2:$A$351,Data!$A$2:$A$351,Data!$C$2:$C$351,Data!$C$2:$C$351)&gt;1))</f>
        <v>0</v>
      </c>
      <c r="J7" s="24" t="n">
        <v>0</v>
      </c>
    </row>
    <row r="8" customFormat="false" ht="42" hidden="false" customHeight="true" outlineLevel="0" collapsed="false">
      <c r="A8" s="39" t="n">
        <v>3</v>
      </c>
      <c r="B8" s="40" t="s">
        <v>363</v>
      </c>
      <c r="C8" s="3" t="s">
        <v>373</v>
      </c>
      <c r="D8" s="3" t="s">
        <v>374</v>
      </c>
      <c r="E8" s="3" t="s">
        <v>375</v>
      </c>
      <c r="F8" s="3" t="s">
        <v>376</v>
      </c>
      <c r="H8" s="9" t="s">
        <v>377</v>
      </c>
      <c r="I8" s="24" t="n">
        <f aca="false">SUMPRODUCT(--(Data!$H$2:$H$351+Data!$I$2:$I$351+Data!$J$2:$J$351+Data!$K$2:$K$351+Data!$L$2:$L$351+Data!$M$2:$M$351&lt;&gt;Data!$N$2:$N$351))</f>
        <v>0</v>
      </c>
      <c r="J8" s="24" t="n">
        <v>0</v>
      </c>
    </row>
    <row r="9" customFormat="false" ht="30" hidden="false" customHeight="true" outlineLevel="0" collapsed="false">
      <c r="A9" s="39" t="n">
        <v>4</v>
      </c>
      <c r="B9" s="40" t="s">
        <v>363</v>
      </c>
      <c r="C9" s="3" t="s">
        <v>378</v>
      </c>
      <c r="D9" s="3" t="s">
        <v>379</v>
      </c>
      <c r="E9" s="3" t="s">
        <v>380</v>
      </c>
      <c r="F9" s="3" t="s">
        <v>381</v>
      </c>
      <c r="H9" s="9" t="s">
        <v>382</v>
      </c>
      <c r="I9" s="24" t="n">
        <f aca="false">SUMPRODUCT(--(Data!$O$2:$O$351+Data!$P$2:$P$351+Data!$Q$2:$Q$351+Data!$R$2:$R$351+Data!$S$2:$S$351+Data!$T$2:$T$351&lt;&gt;Data!$U$2:$U$351))</f>
        <v>0</v>
      </c>
      <c r="J9" s="24" t="n">
        <v>0</v>
      </c>
    </row>
    <row r="10" customFormat="false" ht="55.5" hidden="false" customHeight="true" outlineLevel="0" collapsed="false">
      <c r="A10" s="39" t="n">
        <v>5</v>
      </c>
      <c r="B10" s="40" t="s">
        <v>363</v>
      </c>
      <c r="C10" s="3" t="s">
        <v>383</v>
      </c>
      <c r="D10" s="3" t="s">
        <v>384</v>
      </c>
      <c r="E10" s="3" t="s">
        <v>385</v>
      </c>
      <c r="F10" s="3" t="s">
        <v>386</v>
      </c>
      <c r="H10" s="9" t="s">
        <v>387</v>
      </c>
      <c r="I10" s="24" t="n">
        <f aca="false">SUMPRODUCT(--(Data!$W$2:$W$351&gt;Data!$V$2:$V$351))</f>
        <v>0</v>
      </c>
      <c r="J10" s="24" t="n">
        <v>0</v>
      </c>
    </row>
    <row r="11" customFormat="false" ht="42" hidden="false" customHeight="true" outlineLevel="0" collapsed="false">
      <c r="A11" s="39" t="n">
        <v>6</v>
      </c>
      <c r="B11" s="41" t="s">
        <v>388</v>
      </c>
      <c r="C11" s="3" t="s">
        <v>389</v>
      </c>
      <c r="D11" s="3" t="s">
        <v>390</v>
      </c>
      <c r="E11" s="3" t="s">
        <v>391</v>
      </c>
      <c r="F11" s="3" t="s">
        <v>392</v>
      </c>
      <c r="H11" s="9" t="s">
        <v>393</v>
      </c>
      <c r="I11" s="24" t="n">
        <f aca="false">COUNTIF(Data!$Y$2:$Y$351,"?*")</f>
        <v>81</v>
      </c>
      <c r="J11" s="24" t="s">
        <v>394</v>
      </c>
    </row>
    <row r="12" customFormat="false" ht="30" hidden="false" customHeight="true" outlineLevel="0" collapsed="false">
      <c r="A12" s="39" t="n">
        <v>7</v>
      </c>
      <c r="B12" s="41" t="s">
        <v>388</v>
      </c>
      <c r="C12" s="3" t="s">
        <v>395</v>
      </c>
      <c r="D12" s="3" t="s">
        <v>396</v>
      </c>
      <c r="E12" s="3" t="s">
        <v>397</v>
      </c>
      <c r="F12" s="3" t="s">
        <v>398</v>
      </c>
      <c r="H12" s="9" t="s">
        <v>399</v>
      </c>
      <c r="I12" s="24" t="n">
        <f aca="false">SUMPRODUCT((Data!$V$2:$V$351&gt;=1000)*(Data!$X$2:$X$351&lt;0.25))</f>
        <v>55</v>
      </c>
      <c r="J12" s="24" t="s">
        <v>394</v>
      </c>
    </row>
    <row r="13" customFormat="false" ht="30" hidden="false" customHeight="true" outlineLevel="0" collapsed="false">
      <c r="A13" s="39" t="n">
        <v>8</v>
      </c>
      <c r="B13" s="41" t="s">
        <v>388</v>
      </c>
      <c r="C13" s="3" t="s">
        <v>400</v>
      </c>
      <c r="D13" s="3" t="s">
        <v>401</v>
      </c>
      <c r="E13" s="3" t="s">
        <v>402</v>
      </c>
      <c r="F13" s="3" t="s">
        <v>403</v>
      </c>
      <c r="H13" s="9" t="s">
        <v>404</v>
      </c>
      <c r="I13" s="24" t="n">
        <f aca="false">COUNTBLANK(Lookups!$D$5:$D$75)</f>
        <v>0</v>
      </c>
      <c r="J13" s="24" t="n">
        <v>0</v>
      </c>
    </row>
    <row r="14" customFormat="false" ht="55.5" hidden="false" customHeight="true" outlineLevel="0" collapsed="false">
      <c r="A14" s="39" t="n">
        <v>9</v>
      </c>
      <c r="B14" s="41" t="s">
        <v>388</v>
      </c>
      <c r="C14" s="3" t="s">
        <v>300</v>
      </c>
      <c r="D14" s="3" t="s">
        <v>405</v>
      </c>
      <c r="E14" s="3" t="s">
        <v>406</v>
      </c>
      <c r="F14" s="3" t="s">
        <v>398</v>
      </c>
    </row>
    <row r="15" customFormat="false" ht="42" hidden="false" customHeight="true" outlineLevel="0" collapsed="false">
      <c r="A15" s="39" t="n">
        <v>10</v>
      </c>
      <c r="B15" s="41" t="s">
        <v>388</v>
      </c>
      <c r="C15" s="3" t="s">
        <v>124</v>
      </c>
      <c r="D15" s="3" t="s">
        <v>407</v>
      </c>
      <c r="E15" s="3" t="s">
        <v>408</v>
      </c>
      <c r="F15" s="3" t="s">
        <v>409</v>
      </c>
      <c r="H15" s="7" t="s">
        <v>410</v>
      </c>
    </row>
    <row r="16" customFormat="false" ht="30" hidden="false" customHeight="true" outlineLevel="0" collapsed="false">
      <c r="A16" s="39" t="n">
        <v>11</v>
      </c>
      <c r="B16" s="42" t="s">
        <v>411</v>
      </c>
      <c r="C16" s="3" t="s">
        <v>412</v>
      </c>
      <c r="D16" s="3" t="s">
        <v>413</v>
      </c>
      <c r="E16" s="3" t="s">
        <v>414</v>
      </c>
      <c r="F16" s="3" t="s">
        <v>415</v>
      </c>
      <c r="H16" s="8" t="s">
        <v>99</v>
      </c>
      <c r="I16" s="8" t="s">
        <v>416</v>
      </c>
      <c r="J16" s="8" t="s">
        <v>134</v>
      </c>
      <c r="K16" s="8" t="s">
        <v>417</v>
      </c>
      <c r="L16" s="8" t="s">
        <v>418</v>
      </c>
    </row>
    <row r="17" customFormat="false" ht="30" hidden="false" customHeight="true" outlineLevel="0" collapsed="false">
      <c r="A17" s="39" t="n">
        <v>12</v>
      </c>
      <c r="B17" s="42" t="s">
        <v>411</v>
      </c>
      <c r="C17" s="3" t="s">
        <v>419</v>
      </c>
      <c r="D17" s="3" t="s">
        <v>420</v>
      </c>
      <c r="E17" s="3" t="s">
        <v>421</v>
      </c>
      <c r="F17" s="3" t="s">
        <v>422</v>
      </c>
      <c r="H17" s="43" t="n">
        <v>2020</v>
      </c>
      <c r="I17" s="24" t="n">
        <f aca="false">SUMIFS(Data!$V$2:$V$351,Data!$A$2:$A$351,H17,Data!$G$2:$G$351,"Abroad")</f>
        <v>4884479</v>
      </c>
      <c r="J17" s="24" t="n">
        <f aca="false">SUMIFS(Data!$W$2:$W$351,Data!$A$2:$A$351,H17,Data!$G$2:$G$351,"Abroad")</f>
        <v>2356365</v>
      </c>
      <c r="K17" s="32" t="n">
        <f aca="false">J17/I17</f>
        <v>0.482418902814405</v>
      </c>
      <c r="L17" s="9" t="n">
        <f aca="false">COUNTIFS(Data!$A$2:$A$351,H17,Data!$G$2:$G$351,"Abroad")</f>
        <v>62</v>
      </c>
    </row>
    <row r="18" customFormat="false" ht="30" hidden="false" customHeight="true" outlineLevel="0" collapsed="false">
      <c r="A18" s="39" t="n">
        <v>13</v>
      </c>
      <c r="B18" s="42" t="s">
        <v>411</v>
      </c>
      <c r="C18" s="3" t="s">
        <v>423</v>
      </c>
      <c r="D18" s="3" t="s">
        <v>424</v>
      </c>
      <c r="E18" s="3" t="s">
        <v>425</v>
      </c>
      <c r="F18" s="3" t="s">
        <v>426</v>
      </c>
      <c r="H18" s="43" t="n">
        <v>2021</v>
      </c>
      <c r="I18" s="24" t="n">
        <f aca="false">SUMIFS(Data!$V$2:$V$351,Data!$A$2:$A$351,H18,Data!$G$2:$G$351,"Abroad")</f>
        <v>5576740</v>
      </c>
      <c r="J18" s="24" t="n">
        <f aca="false">SUMIFS(Data!$W$2:$W$351,Data!$A$2:$A$351,H18,Data!$G$2:$G$351,"Abroad")</f>
        <v>3831122</v>
      </c>
      <c r="K18" s="32" t="n">
        <f aca="false">J18/I18</f>
        <v>0.68698235886916</v>
      </c>
      <c r="L18" s="9" t="n">
        <f aca="false">COUNTIFS(Data!$A$2:$A$351,H18,Data!$G$2:$G$351,"Abroad")</f>
        <v>64</v>
      </c>
    </row>
    <row r="19" customFormat="false" ht="30" hidden="false" customHeight="true" outlineLevel="0" collapsed="false">
      <c r="A19" s="39" t="n">
        <v>14</v>
      </c>
      <c r="B19" s="42" t="s">
        <v>411</v>
      </c>
      <c r="C19" s="3" t="s">
        <v>427</v>
      </c>
      <c r="D19" s="3" t="s">
        <v>428</v>
      </c>
      <c r="E19" s="3" t="s">
        <v>429</v>
      </c>
      <c r="F19" s="3" t="s">
        <v>430</v>
      </c>
      <c r="H19" s="43" t="n">
        <v>2022</v>
      </c>
      <c r="I19" s="24" t="n">
        <f aca="false">SUMIFS(Data!$V$2:$V$351,Data!$A$2:$A$351,H19,Data!$G$2:$G$351,"Abroad")</f>
        <v>6766541</v>
      </c>
      <c r="J19" s="24" t="n">
        <f aca="false">SUMIFS(Data!$W$2:$W$351,Data!$A$2:$A$351,H19,Data!$G$2:$G$351,"Abroad")</f>
        <v>3948428</v>
      </c>
      <c r="K19" s="32" t="n">
        <f aca="false">J19/I19</f>
        <v>0.583522363937498</v>
      </c>
      <c r="L19" s="9" t="n">
        <f aca="false">COUNTIFS(Data!$A$2:$A$351,H19,Data!$G$2:$G$351,"Abroad")</f>
        <v>59</v>
      </c>
    </row>
    <row r="20" customFormat="false" ht="15" hidden="false" customHeight="false" outlineLevel="0" collapsed="false">
      <c r="H20" s="43" t="n">
        <v>2023</v>
      </c>
      <c r="I20" s="24" t="n">
        <f aca="false">SUMIFS(Data!$V$2:$V$351,Data!$A$2:$A$351,H20,Data!$G$2:$G$351,"Abroad")</f>
        <v>7389912</v>
      </c>
      <c r="J20" s="24" t="n">
        <f aca="false">SUMIFS(Data!$W$2:$W$351,Data!$A$2:$A$351,H20,Data!$G$2:$G$351,"Abroad")</f>
        <v>5551228</v>
      </c>
      <c r="K20" s="32" t="n">
        <f aca="false">J20/I20</f>
        <v>0.751190000638709</v>
      </c>
      <c r="L20" s="9" t="n">
        <f aca="false">COUNTIFS(Data!$A$2:$A$351,H20,Data!$G$2:$G$351,"Abroad")</f>
        <v>53</v>
      </c>
    </row>
    <row r="21" customFormat="false" ht="15" hidden="false" customHeight="false" outlineLevel="0" collapsed="false">
      <c r="H21" s="43" t="n">
        <v>2024</v>
      </c>
      <c r="I21" s="24" t="n">
        <f aca="false">SUMIFS(Data!$V$2:$V$351,Data!$A$2:$A$351,H21,Data!$G$2:$G$351,"Abroad")</f>
        <v>7826093</v>
      </c>
      <c r="J21" s="24" t="n">
        <f aca="false">SUMIFS(Data!$W$2:$W$351,Data!$A$2:$A$351,H21,Data!$G$2:$G$351,"Abroad")</f>
        <v>5623479</v>
      </c>
      <c r="K21" s="32" t="n">
        <f aca="false">J21/I21</f>
        <v>0.718555095115788</v>
      </c>
      <c r="L21" s="9" t="n">
        <f aca="false">COUNTIFS(Data!$A$2:$A$351,H21,Data!$G$2:$G$351,"Abroad")</f>
        <v>52</v>
      </c>
    </row>
    <row r="22" customFormat="false" ht="15" hidden="false" customHeight="false" outlineLevel="0" collapsed="false">
      <c r="H22" s="43" t="n">
        <v>2025</v>
      </c>
      <c r="I22" s="24" t="n">
        <f aca="false">SUMIFS(Data!$V$2:$V$351,Data!$A$2:$A$351,H22,Data!$G$2:$G$351,"Abroad")</f>
        <v>7682752</v>
      </c>
      <c r="J22" s="24" t="n">
        <f aca="false">SUMIFS(Data!$W$2:$W$351,Data!$A$2:$A$351,H22,Data!$G$2:$G$351,"Abroad")</f>
        <v>5874931</v>
      </c>
      <c r="K22" s="32" t="n">
        <f aca="false">J22/I22</f>
        <v>0.764690959697775</v>
      </c>
      <c r="L22" s="9" t="n">
        <f aca="false">COUNTIFS(Data!$A$2:$A$351,H22,Data!$G$2:$G$351,"Abroad")</f>
        <v>54</v>
      </c>
    </row>
    <row r="24" customFormat="false" ht="15" hidden="false" customHeight="true" outlineLevel="0" collapsed="false">
      <c r="H24" s="38" t="s">
        <v>431</v>
      </c>
      <c r="I24" s="38"/>
      <c r="J24" s="38"/>
      <c r="K24" s="38"/>
      <c r="L24" s="38"/>
    </row>
    <row r="25" customFormat="false" ht="15" hidden="false" customHeight="false" outlineLevel="0" collapsed="false">
      <c r="H25" s="38"/>
      <c r="I25" s="38"/>
      <c r="J25" s="38"/>
      <c r="K25" s="38"/>
      <c r="L25" s="38"/>
    </row>
    <row r="26" customFormat="false" ht="15" hidden="false" customHeight="false" outlineLevel="0" collapsed="false">
      <c r="H26" s="38"/>
      <c r="I26" s="38"/>
      <c r="J26" s="38"/>
      <c r="K26" s="38"/>
      <c r="L26" s="38"/>
    </row>
  </sheetData>
  <mergeCells count="1">
    <mergeCell ref="H24:L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false"/>
  </sheetPr>
  <dimension ref="A1:G3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8"/>
    <col collapsed="false" customWidth="true" hidden="false" outlineLevel="0" max="3" min="3" style="0" width="22"/>
    <col collapsed="false" customWidth="true" hidden="false" outlineLevel="0" max="4" min="4" style="0" width="6"/>
    <col collapsed="false" customWidth="true" hidden="false" outlineLevel="0" max="5" min="5" style="0" width="16"/>
    <col collapsed="false" customWidth="true" hidden="false" outlineLevel="0" max="6" min="6" style="0" width="110"/>
    <col collapsed="false" customWidth="true" hidden="false" outlineLevel="0" max="7" min="7" style="0" width="24"/>
  </cols>
  <sheetData>
    <row r="1" customFormat="false" ht="19.7" hidden="false" customHeight="false" outlineLevel="0" collapsed="false">
      <c r="A1" s="1" t="s">
        <v>432</v>
      </c>
    </row>
    <row r="2" customFormat="false" ht="15" hidden="false" customHeight="false" outlineLevel="0" collapsed="false">
      <c r="A2" s="6" t="s">
        <v>433</v>
      </c>
    </row>
    <row r="4" customFormat="false" ht="30" hidden="false" customHeight="true" outlineLevel="0" collapsed="false">
      <c r="A4" s="8" t="s">
        <v>99</v>
      </c>
      <c r="B4" s="8" t="s">
        <v>225</v>
      </c>
      <c r="C4" s="8" t="s">
        <v>434</v>
      </c>
      <c r="D4" s="8" t="s">
        <v>144</v>
      </c>
      <c r="E4" s="8" t="s">
        <v>435</v>
      </c>
      <c r="F4" s="8" t="s">
        <v>436</v>
      </c>
      <c r="G4" s="8" t="s">
        <v>437</v>
      </c>
    </row>
    <row r="5" customFormat="false" ht="46.25" hidden="false" customHeight="false" outlineLevel="0" collapsed="false">
      <c r="A5" s="44" t="s">
        <v>438</v>
      </c>
      <c r="B5" s="44"/>
      <c r="C5" s="44"/>
      <c r="D5" s="44"/>
      <c r="E5" s="44" t="s">
        <v>439</v>
      </c>
      <c r="F5" s="45" t="s">
        <v>440</v>
      </c>
      <c r="G5" s="44" t="s">
        <v>441</v>
      </c>
    </row>
    <row r="6" customFormat="false" ht="102.2" hidden="false" customHeight="false" outlineLevel="0" collapsed="false">
      <c r="A6" s="9" t="s">
        <v>442</v>
      </c>
      <c r="B6" s="9" t="s">
        <v>101</v>
      </c>
      <c r="C6" s="9"/>
      <c r="D6" s="9" t="s">
        <v>155</v>
      </c>
      <c r="E6" s="9" t="s">
        <v>443</v>
      </c>
      <c r="F6" s="3" t="s">
        <v>444</v>
      </c>
      <c r="G6" s="9" t="s">
        <v>445</v>
      </c>
    </row>
    <row r="7" customFormat="false" ht="35.05" hidden="false" customHeight="false" outlineLevel="0" collapsed="false">
      <c r="A7" s="9" t="s">
        <v>446</v>
      </c>
      <c r="B7" s="9" t="s">
        <v>447</v>
      </c>
      <c r="C7" s="9"/>
      <c r="D7" s="9" t="s">
        <v>448</v>
      </c>
      <c r="E7" s="9" t="s">
        <v>449</v>
      </c>
      <c r="F7" s="3" t="s">
        <v>450</v>
      </c>
      <c r="G7" s="9" t="s">
        <v>445</v>
      </c>
    </row>
    <row r="8" customFormat="false" ht="15" hidden="false" customHeight="false" outlineLevel="0" collapsed="false">
      <c r="A8" s="9" t="s">
        <v>451</v>
      </c>
      <c r="B8" s="9" t="s">
        <v>252</v>
      </c>
      <c r="C8" s="9"/>
      <c r="D8" s="9" t="s">
        <v>187</v>
      </c>
      <c r="E8" s="9" t="s">
        <v>449</v>
      </c>
      <c r="F8" s="3" t="s">
        <v>452</v>
      </c>
      <c r="G8" s="9" t="s">
        <v>445</v>
      </c>
    </row>
    <row r="9" customFormat="false" ht="23.85" hidden="false" customHeight="false" outlineLevel="0" collapsed="false">
      <c r="A9" s="9" t="s">
        <v>453</v>
      </c>
      <c r="B9" s="9" t="s">
        <v>454</v>
      </c>
      <c r="C9" s="9"/>
      <c r="D9" s="9" t="s">
        <v>455</v>
      </c>
      <c r="E9" s="9" t="s">
        <v>443</v>
      </c>
      <c r="F9" s="3" t="s">
        <v>456</v>
      </c>
      <c r="G9" s="9" t="s">
        <v>445</v>
      </c>
    </row>
    <row r="10" customFormat="false" ht="57.45" hidden="false" customHeight="false" outlineLevel="0" collapsed="false">
      <c r="A10" s="9" t="s">
        <v>442</v>
      </c>
      <c r="B10" s="9" t="s">
        <v>457</v>
      </c>
      <c r="C10" s="9"/>
      <c r="D10" s="9" t="s">
        <v>458</v>
      </c>
      <c r="E10" s="9" t="s">
        <v>449</v>
      </c>
      <c r="F10" s="3" t="s">
        <v>459</v>
      </c>
      <c r="G10" s="9" t="s">
        <v>445</v>
      </c>
    </row>
    <row r="11" customFormat="false" ht="23.85" hidden="false" customHeight="false" outlineLevel="0" collapsed="false">
      <c r="A11" s="9" t="s">
        <v>442</v>
      </c>
      <c r="B11" s="9" t="s">
        <v>278</v>
      </c>
      <c r="C11" s="9"/>
      <c r="D11" s="9" t="s">
        <v>220</v>
      </c>
      <c r="E11" s="9" t="s">
        <v>449</v>
      </c>
      <c r="F11" s="3" t="s">
        <v>460</v>
      </c>
      <c r="G11" s="9" t="s">
        <v>445</v>
      </c>
    </row>
    <row r="12" customFormat="false" ht="35.05" hidden="false" customHeight="false" outlineLevel="0" collapsed="false">
      <c r="A12" s="9" t="s">
        <v>442</v>
      </c>
      <c r="B12" s="9" t="s">
        <v>447</v>
      </c>
      <c r="C12" s="9"/>
      <c r="D12" s="9" t="s">
        <v>448</v>
      </c>
      <c r="E12" s="9" t="s">
        <v>449</v>
      </c>
      <c r="F12" s="3" t="s">
        <v>461</v>
      </c>
      <c r="G12" s="9" t="s">
        <v>445</v>
      </c>
    </row>
    <row r="13" customFormat="false" ht="35.05" hidden="false" customHeight="false" outlineLevel="0" collapsed="false">
      <c r="A13" s="9" t="s">
        <v>462</v>
      </c>
      <c r="B13" s="9" t="s">
        <v>463</v>
      </c>
      <c r="C13" s="9"/>
      <c r="D13" s="9" t="s">
        <v>464</v>
      </c>
      <c r="E13" s="9" t="s">
        <v>449</v>
      </c>
      <c r="F13" s="3" t="s">
        <v>465</v>
      </c>
      <c r="G13" s="9" t="s">
        <v>445</v>
      </c>
    </row>
    <row r="14" customFormat="false" ht="35.05" hidden="false" customHeight="false" outlineLevel="0" collapsed="false">
      <c r="A14" s="44" t="s">
        <v>451</v>
      </c>
      <c r="B14" s="44" t="s">
        <v>254</v>
      </c>
      <c r="C14" s="44"/>
      <c r="D14" s="44" t="s">
        <v>181</v>
      </c>
      <c r="E14" s="44" t="s">
        <v>466</v>
      </c>
      <c r="F14" s="45" t="s">
        <v>467</v>
      </c>
      <c r="G14" s="44" t="s">
        <v>468</v>
      </c>
    </row>
    <row r="15" customFormat="false" ht="35.05" hidden="false" customHeight="false" outlineLevel="0" collapsed="false">
      <c r="A15" s="9" t="s">
        <v>39</v>
      </c>
      <c r="B15" s="9" t="s">
        <v>343</v>
      </c>
      <c r="C15" s="9"/>
      <c r="D15" s="9" t="s">
        <v>192</v>
      </c>
      <c r="E15" s="9" t="s">
        <v>449</v>
      </c>
      <c r="F15" s="3" t="s">
        <v>469</v>
      </c>
      <c r="G15" s="9" t="s">
        <v>445</v>
      </c>
    </row>
    <row r="16" customFormat="false" ht="23.85" hidden="false" customHeight="false" outlineLevel="0" collapsed="false">
      <c r="A16" s="9" t="s">
        <v>470</v>
      </c>
      <c r="B16" s="9" t="s">
        <v>271</v>
      </c>
      <c r="C16" s="9"/>
      <c r="D16" s="9" t="s">
        <v>199</v>
      </c>
      <c r="E16" s="9" t="s">
        <v>449</v>
      </c>
      <c r="F16" s="3" t="s">
        <v>471</v>
      </c>
      <c r="G16" s="9" t="s">
        <v>445</v>
      </c>
    </row>
    <row r="17" customFormat="false" ht="23.85" hidden="false" customHeight="false" outlineLevel="0" collapsed="false">
      <c r="A17" s="9" t="s">
        <v>40</v>
      </c>
      <c r="B17" s="9" t="s">
        <v>447</v>
      </c>
      <c r="C17" s="9"/>
      <c r="D17" s="9" t="s">
        <v>448</v>
      </c>
      <c r="E17" s="9" t="s">
        <v>472</v>
      </c>
      <c r="F17" s="3" t="s">
        <v>473</v>
      </c>
      <c r="G17" s="9" t="s">
        <v>445</v>
      </c>
    </row>
    <row r="18" customFormat="false" ht="35.05" hidden="false" customHeight="false" outlineLevel="0" collapsed="false">
      <c r="A18" s="9" t="s">
        <v>446</v>
      </c>
      <c r="B18" s="9" t="s">
        <v>474</v>
      </c>
      <c r="C18" s="9"/>
      <c r="D18" s="9" t="s">
        <v>475</v>
      </c>
      <c r="E18" s="9" t="s">
        <v>472</v>
      </c>
      <c r="F18" s="3" t="s">
        <v>476</v>
      </c>
      <c r="G18" s="9" t="s">
        <v>445</v>
      </c>
    </row>
    <row r="19" customFormat="false" ht="23.85" hidden="false" customHeight="false" outlineLevel="0" collapsed="false">
      <c r="A19" s="9" t="s">
        <v>442</v>
      </c>
      <c r="B19" s="9" t="s">
        <v>477</v>
      </c>
      <c r="C19" s="9"/>
      <c r="D19" s="9" t="s">
        <v>478</v>
      </c>
      <c r="E19" s="9" t="s">
        <v>472</v>
      </c>
      <c r="F19" s="3" t="s">
        <v>479</v>
      </c>
      <c r="G19" s="9" t="s">
        <v>445</v>
      </c>
    </row>
    <row r="20" customFormat="false" ht="23.85" hidden="false" customHeight="false" outlineLevel="0" collapsed="false">
      <c r="A20" s="9" t="s">
        <v>446</v>
      </c>
      <c r="B20" s="9" t="s">
        <v>480</v>
      </c>
      <c r="C20" s="9"/>
      <c r="D20" s="9" t="s">
        <v>481</v>
      </c>
      <c r="E20" s="9" t="s">
        <v>449</v>
      </c>
      <c r="F20" s="3" t="s">
        <v>482</v>
      </c>
      <c r="G20" s="9" t="s">
        <v>445</v>
      </c>
    </row>
    <row r="21" customFormat="false" ht="23.85" hidden="false" customHeight="false" outlineLevel="0" collapsed="false">
      <c r="A21" s="9" t="s">
        <v>442</v>
      </c>
      <c r="B21" s="9" t="s">
        <v>483</v>
      </c>
      <c r="C21" s="9"/>
      <c r="D21" s="9" t="s">
        <v>484</v>
      </c>
      <c r="E21" s="9" t="s">
        <v>472</v>
      </c>
      <c r="F21" s="3" t="s">
        <v>485</v>
      </c>
      <c r="G21" s="9" t="s">
        <v>445</v>
      </c>
    </row>
    <row r="22" customFormat="false" ht="15" hidden="false" customHeight="false" outlineLevel="0" collapsed="false">
      <c r="A22" s="44" t="s">
        <v>451</v>
      </c>
      <c r="B22" s="44" t="s">
        <v>300</v>
      </c>
      <c r="C22" s="44"/>
      <c r="D22" s="44" t="s">
        <v>161</v>
      </c>
      <c r="E22" s="44" t="s">
        <v>472</v>
      </c>
      <c r="F22" s="45" t="s">
        <v>486</v>
      </c>
      <c r="G22" s="44" t="s">
        <v>468</v>
      </c>
    </row>
    <row r="23" customFormat="false" ht="46.25" hidden="false" customHeight="false" outlineLevel="0" collapsed="false">
      <c r="A23" s="9" t="s">
        <v>446</v>
      </c>
      <c r="B23" s="9" t="s">
        <v>480</v>
      </c>
      <c r="C23" s="9"/>
      <c r="D23" s="9" t="s">
        <v>481</v>
      </c>
      <c r="E23" s="9" t="s">
        <v>466</v>
      </c>
      <c r="F23" s="3" t="s">
        <v>487</v>
      </c>
      <c r="G23" s="9" t="s">
        <v>445</v>
      </c>
    </row>
    <row r="24" customFormat="false" ht="15" hidden="false" customHeight="false" outlineLevel="0" collapsed="false">
      <c r="A24" s="9" t="s">
        <v>39</v>
      </c>
      <c r="B24" s="9" t="s">
        <v>488</v>
      </c>
      <c r="C24" s="9"/>
      <c r="D24" s="9" t="s">
        <v>489</v>
      </c>
      <c r="E24" s="9" t="s">
        <v>466</v>
      </c>
      <c r="F24" s="3" t="s">
        <v>490</v>
      </c>
      <c r="G24" s="9" t="s">
        <v>445</v>
      </c>
    </row>
    <row r="25" customFormat="false" ht="23.85" hidden="false" customHeight="false" outlineLevel="0" collapsed="false">
      <c r="A25" s="44" t="s">
        <v>442</v>
      </c>
      <c r="B25" s="44" t="s">
        <v>281</v>
      </c>
      <c r="C25" s="44"/>
      <c r="D25" s="44" t="s">
        <v>174</v>
      </c>
      <c r="E25" s="44" t="s">
        <v>472</v>
      </c>
      <c r="F25" s="45" t="s">
        <v>491</v>
      </c>
      <c r="G25" s="44" t="s">
        <v>468</v>
      </c>
    </row>
    <row r="26" customFormat="false" ht="102.2" hidden="false" customHeight="false" outlineLevel="0" collapsed="false">
      <c r="A26" s="9" t="s">
        <v>40</v>
      </c>
      <c r="B26" s="9" t="s">
        <v>101</v>
      </c>
      <c r="C26" s="9"/>
      <c r="D26" s="9" t="s">
        <v>155</v>
      </c>
      <c r="E26" s="9" t="s">
        <v>443</v>
      </c>
      <c r="F26" s="3" t="s">
        <v>492</v>
      </c>
      <c r="G26" s="9" t="s">
        <v>445</v>
      </c>
    </row>
    <row r="27" customFormat="false" ht="23.85" hidden="false" customHeight="false" outlineLevel="0" collapsed="false">
      <c r="A27" s="9" t="s">
        <v>451</v>
      </c>
      <c r="B27" s="9" t="s">
        <v>245</v>
      </c>
      <c r="C27" s="9"/>
      <c r="D27" s="9" t="s">
        <v>204</v>
      </c>
      <c r="E27" s="9" t="s">
        <v>449</v>
      </c>
      <c r="F27" s="3" t="s">
        <v>493</v>
      </c>
      <c r="G27" s="9" t="s">
        <v>445</v>
      </c>
    </row>
    <row r="28" customFormat="false" ht="68.65" hidden="false" customHeight="false" outlineLevel="0" collapsed="false">
      <c r="A28" s="9" t="s">
        <v>39</v>
      </c>
      <c r="B28" s="9" t="s">
        <v>278</v>
      </c>
      <c r="C28" s="9"/>
      <c r="D28" s="9" t="s">
        <v>220</v>
      </c>
      <c r="E28" s="9" t="s">
        <v>449</v>
      </c>
      <c r="F28" s="3" t="s">
        <v>494</v>
      </c>
      <c r="G28" s="9" t="s">
        <v>445</v>
      </c>
    </row>
    <row r="29" customFormat="false" ht="35.05" hidden="false" customHeight="false" outlineLevel="0" collapsed="false">
      <c r="A29" s="44" t="s">
        <v>453</v>
      </c>
      <c r="B29" s="44" t="s">
        <v>347</v>
      </c>
      <c r="C29" s="44"/>
      <c r="D29" s="44" t="s">
        <v>160</v>
      </c>
      <c r="E29" s="44" t="s">
        <v>472</v>
      </c>
      <c r="F29" s="45" t="s">
        <v>495</v>
      </c>
      <c r="G29" s="44" t="s">
        <v>468</v>
      </c>
    </row>
    <row r="30" customFormat="false" ht="35.05" hidden="false" customHeight="false" outlineLevel="0" collapsed="false">
      <c r="A30" s="9" t="s">
        <v>470</v>
      </c>
      <c r="B30" s="9" t="s">
        <v>496</v>
      </c>
      <c r="C30" s="9"/>
      <c r="D30" s="9" t="s">
        <v>497</v>
      </c>
      <c r="E30" s="9" t="s">
        <v>498</v>
      </c>
      <c r="F30" s="3" t="s">
        <v>499</v>
      </c>
      <c r="G30" s="9" t="s">
        <v>445</v>
      </c>
    </row>
    <row r="31" customFormat="false" ht="35.05" hidden="false" customHeight="false" outlineLevel="0" collapsed="false">
      <c r="A31" s="9" t="s">
        <v>40</v>
      </c>
      <c r="B31" s="9" t="s">
        <v>500</v>
      </c>
      <c r="C31" s="9"/>
      <c r="D31" s="9" t="s">
        <v>501</v>
      </c>
      <c r="E31" s="9" t="s">
        <v>449</v>
      </c>
      <c r="F31" s="3" t="s">
        <v>502</v>
      </c>
      <c r="G31" s="9" t="s">
        <v>445</v>
      </c>
    </row>
    <row r="32" customFormat="false" ht="23.85" hidden="false" customHeight="false" outlineLevel="0" collapsed="false">
      <c r="A32" s="9" t="s">
        <v>41</v>
      </c>
      <c r="B32" s="9" t="s">
        <v>327</v>
      </c>
      <c r="C32" s="9"/>
      <c r="D32" s="9" t="s">
        <v>206</v>
      </c>
      <c r="E32" s="9" t="s">
        <v>449</v>
      </c>
      <c r="F32" s="3" t="s">
        <v>503</v>
      </c>
      <c r="G32" s="9" t="s">
        <v>445</v>
      </c>
    </row>
    <row r="33" customFormat="false" ht="57.45" hidden="false" customHeight="false" outlineLevel="0" collapsed="false">
      <c r="A33" s="9" t="s">
        <v>41</v>
      </c>
      <c r="B33" s="9" t="s">
        <v>268</v>
      </c>
      <c r="C33" s="9"/>
      <c r="D33" s="9" t="s">
        <v>198</v>
      </c>
      <c r="E33" s="9" t="s">
        <v>449</v>
      </c>
      <c r="F33" s="3" t="s">
        <v>504</v>
      </c>
      <c r="G33" s="9" t="s">
        <v>445</v>
      </c>
    </row>
    <row r="34" customFormat="false" ht="79.85" hidden="false" customHeight="false" outlineLevel="0" collapsed="false">
      <c r="A34" s="9" t="s">
        <v>39</v>
      </c>
      <c r="B34" s="9" t="s">
        <v>505</v>
      </c>
      <c r="C34" s="9"/>
      <c r="D34" s="9" t="s">
        <v>506</v>
      </c>
      <c r="E34" s="9" t="s">
        <v>449</v>
      </c>
      <c r="F34" s="3" t="s">
        <v>507</v>
      </c>
      <c r="G34" s="9" t="s">
        <v>445</v>
      </c>
    </row>
    <row r="35" customFormat="false" ht="46.25" hidden="false" customHeight="false" outlineLevel="0" collapsed="false">
      <c r="A35" s="9" t="s">
        <v>40</v>
      </c>
      <c r="B35" s="9" t="s">
        <v>508</v>
      </c>
      <c r="C35" s="9"/>
      <c r="D35" s="9" t="s">
        <v>509</v>
      </c>
      <c r="E35" s="9" t="s">
        <v>449</v>
      </c>
      <c r="F35" s="3" t="s">
        <v>510</v>
      </c>
      <c r="G35" s="9" t="s">
        <v>445</v>
      </c>
    </row>
    <row r="36" customFormat="false" ht="15" hidden="false" customHeight="false" outlineLevel="0" collapsed="false">
      <c r="A36" s="9" t="s">
        <v>39</v>
      </c>
      <c r="B36" s="9" t="s">
        <v>511</v>
      </c>
      <c r="C36" s="9"/>
      <c r="D36" s="9" t="s">
        <v>512</v>
      </c>
      <c r="E36" s="9" t="s">
        <v>449</v>
      </c>
      <c r="F36" s="3" t="s">
        <v>513</v>
      </c>
      <c r="G36" s="9" t="s">
        <v>445</v>
      </c>
    </row>
    <row r="37" customFormat="false" ht="46.25" hidden="false" customHeight="false" outlineLevel="0" collapsed="false">
      <c r="A37" s="9" t="s">
        <v>514</v>
      </c>
      <c r="B37" s="9" t="s">
        <v>287</v>
      </c>
      <c r="C37" s="9"/>
      <c r="D37" s="9" t="s">
        <v>163</v>
      </c>
      <c r="E37" s="9" t="s">
        <v>443</v>
      </c>
      <c r="F37" s="3" t="s">
        <v>515</v>
      </c>
      <c r="G37" s="9" t="s">
        <v>445</v>
      </c>
    </row>
    <row r="38" customFormat="false" ht="79.85" hidden="false" customHeight="false" outlineLevel="0" collapsed="false">
      <c r="A38" s="9" t="s">
        <v>442</v>
      </c>
      <c r="B38" s="9" t="s">
        <v>505</v>
      </c>
      <c r="C38" s="9"/>
      <c r="D38" s="9" t="s">
        <v>506</v>
      </c>
      <c r="E38" s="9" t="s">
        <v>449</v>
      </c>
      <c r="F38" s="3" t="s">
        <v>516</v>
      </c>
      <c r="G38" s="9" t="s">
        <v>445</v>
      </c>
    </row>
    <row r="39" customFormat="false" ht="23.85" hidden="false" customHeight="false" outlineLevel="0" collapsed="false">
      <c r="A39" s="9" t="s">
        <v>442</v>
      </c>
      <c r="B39" s="9" t="s">
        <v>276</v>
      </c>
      <c r="C39" s="9"/>
      <c r="D39" s="9" t="s">
        <v>180</v>
      </c>
      <c r="E39" s="9" t="s">
        <v>449</v>
      </c>
      <c r="F39" s="3" t="s">
        <v>517</v>
      </c>
      <c r="G39" s="9" t="s">
        <v>445</v>
      </c>
    </row>
    <row r="40" customFormat="false" ht="79.85" hidden="false" customHeight="false" outlineLevel="0" collapsed="false">
      <c r="A40" s="9" t="s">
        <v>446</v>
      </c>
      <c r="B40" s="9" t="s">
        <v>288</v>
      </c>
      <c r="C40" s="9"/>
      <c r="D40" s="9" t="s">
        <v>212</v>
      </c>
      <c r="E40" s="9" t="s">
        <v>449</v>
      </c>
      <c r="F40" s="3" t="s">
        <v>518</v>
      </c>
      <c r="G40" s="9" t="s">
        <v>445</v>
      </c>
    </row>
    <row r="41" customFormat="false" ht="35.05" hidden="false" customHeight="false" outlineLevel="0" collapsed="false">
      <c r="A41" s="9" t="s">
        <v>451</v>
      </c>
      <c r="B41" s="9" t="s">
        <v>474</v>
      </c>
      <c r="C41" s="9"/>
      <c r="D41" s="9" t="s">
        <v>475</v>
      </c>
      <c r="E41" s="9" t="s">
        <v>472</v>
      </c>
      <c r="F41" s="3" t="s">
        <v>519</v>
      </c>
      <c r="G41" s="9" t="s">
        <v>445</v>
      </c>
    </row>
    <row r="42" customFormat="false" ht="15" hidden="false" customHeight="false" outlineLevel="0" collapsed="false">
      <c r="A42" s="9" t="s">
        <v>442</v>
      </c>
      <c r="B42" s="9" t="s">
        <v>257</v>
      </c>
      <c r="C42" s="9"/>
      <c r="D42" s="9" t="s">
        <v>209</v>
      </c>
      <c r="E42" s="9" t="s">
        <v>449</v>
      </c>
      <c r="F42" s="3" t="s">
        <v>520</v>
      </c>
      <c r="G42" s="9" t="s">
        <v>445</v>
      </c>
    </row>
    <row r="43" customFormat="false" ht="35.05" hidden="false" customHeight="false" outlineLevel="0" collapsed="false">
      <c r="A43" s="44" t="s">
        <v>39</v>
      </c>
      <c r="B43" s="44" t="s">
        <v>347</v>
      </c>
      <c r="C43" s="44"/>
      <c r="D43" s="44" t="s">
        <v>160</v>
      </c>
      <c r="E43" s="44" t="s">
        <v>498</v>
      </c>
      <c r="F43" s="45" t="s">
        <v>521</v>
      </c>
      <c r="G43" s="44" t="s">
        <v>468</v>
      </c>
    </row>
    <row r="44" customFormat="false" ht="79.85" hidden="false" customHeight="false" outlineLevel="0" collapsed="false">
      <c r="A44" s="9" t="s">
        <v>39</v>
      </c>
      <c r="B44" s="9" t="s">
        <v>522</v>
      </c>
      <c r="C44" s="9"/>
      <c r="D44" s="9" t="s">
        <v>523</v>
      </c>
      <c r="E44" s="9" t="s">
        <v>449</v>
      </c>
      <c r="F44" s="3" t="s">
        <v>524</v>
      </c>
      <c r="G44" s="9" t="s">
        <v>445</v>
      </c>
    </row>
    <row r="45" customFormat="false" ht="35.05" hidden="false" customHeight="false" outlineLevel="0" collapsed="false">
      <c r="A45" s="9" t="s">
        <v>451</v>
      </c>
      <c r="B45" s="9" t="s">
        <v>281</v>
      </c>
      <c r="C45" s="9"/>
      <c r="D45" s="9" t="s">
        <v>174</v>
      </c>
      <c r="E45" s="9" t="s">
        <v>449</v>
      </c>
      <c r="F45" s="3" t="s">
        <v>525</v>
      </c>
      <c r="G45" s="9" t="s">
        <v>445</v>
      </c>
    </row>
    <row r="46" customFormat="false" ht="23.85" hidden="false" customHeight="false" outlineLevel="0" collapsed="false">
      <c r="A46" s="9" t="s">
        <v>442</v>
      </c>
      <c r="B46" s="9" t="s">
        <v>264</v>
      </c>
      <c r="C46" s="9"/>
      <c r="D46" s="9" t="s">
        <v>203</v>
      </c>
      <c r="E46" s="9" t="s">
        <v>449</v>
      </c>
      <c r="F46" s="3" t="s">
        <v>526</v>
      </c>
      <c r="G46" s="9" t="s">
        <v>445</v>
      </c>
    </row>
    <row r="47" customFormat="false" ht="35.05" hidden="false" customHeight="false" outlineLevel="0" collapsed="false">
      <c r="A47" s="9" t="s">
        <v>446</v>
      </c>
      <c r="B47" s="9" t="s">
        <v>527</v>
      </c>
      <c r="C47" s="9"/>
      <c r="D47" s="9" t="s">
        <v>528</v>
      </c>
      <c r="E47" s="9" t="s">
        <v>449</v>
      </c>
      <c r="F47" s="3" t="s">
        <v>529</v>
      </c>
      <c r="G47" s="9" t="s">
        <v>445</v>
      </c>
    </row>
    <row r="48" customFormat="false" ht="57.45" hidden="false" customHeight="false" outlineLevel="0" collapsed="false">
      <c r="A48" s="9" t="s">
        <v>470</v>
      </c>
      <c r="B48" s="9" t="s">
        <v>284</v>
      </c>
      <c r="C48" s="9"/>
      <c r="D48" s="9" t="s">
        <v>223</v>
      </c>
      <c r="E48" s="9" t="s">
        <v>449</v>
      </c>
      <c r="F48" s="3" t="s">
        <v>530</v>
      </c>
      <c r="G48" s="9" t="s">
        <v>445</v>
      </c>
    </row>
    <row r="49" customFormat="false" ht="46.25" hidden="false" customHeight="false" outlineLevel="0" collapsed="false">
      <c r="A49" s="9" t="s">
        <v>451</v>
      </c>
      <c r="B49" s="9" t="s">
        <v>531</v>
      </c>
      <c r="C49" s="9"/>
      <c r="D49" s="9" t="s">
        <v>532</v>
      </c>
      <c r="E49" s="9" t="s">
        <v>449</v>
      </c>
      <c r="F49" s="3" t="s">
        <v>533</v>
      </c>
      <c r="G49" s="9" t="s">
        <v>445</v>
      </c>
    </row>
    <row r="50" customFormat="false" ht="35.05" hidden="false" customHeight="false" outlineLevel="0" collapsed="false">
      <c r="A50" s="9" t="s">
        <v>41</v>
      </c>
      <c r="B50" s="9" t="s">
        <v>303</v>
      </c>
      <c r="C50" s="9"/>
      <c r="D50" s="9" t="s">
        <v>193</v>
      </c>
      <c r="E50" s="9" t="s">
        <v>449</v>
      </c>
      <c r="F50" s="3" t="s">
        <v>534</v>
      </c>
      <c r="G50" s="9" t="s">
        <v>445</v>
      </c>
    </row>
    <row r="51" customFormat="false" ht="23.85" hidden="false" customHeight="false" outlineLevel="0" collapsed="false">
      <c r="A51" s="9" t="s">
        <v>41</v>
      </c>
      <c r="B51" s="9" t="s">
        <v>333</v>
      </c>
      <c r="C51" s="9"/>
      <c r="D51" s="9" t="s">
        <v>207</v>
      </c>
      <c r="E51" s="9" t="s">
        <v>449</v>
      </c>
      <c r="F51" s="3" t="s">
        <v>535</v>
      </c>
      <c r="G51" s="9" t="s">
        <v>445</v>
      </c>
    </row>
    <row r="52" customFormat="false" ht="23.85" hidden="false" customHeight="false" outlineLevel="0" collapsed="false">
      <c r="A52" s="44" t="s">
        <v>446</v>
      </c>
      <c r="B52" s="44" t="s">
        <v>258</v>
      </c>
      <c r="C52" s="44"/>
      <c r="D52" s="44" t="s">
        <v>176</v>
      </c>
      <c r="E52" s="44" t="s">
        <v>472</v>
      </c>
      <c r="F52" s="45" t="s">
        <v>536</v>
      </c>
      <c r="G52" s="44" t="s">
        <v>468</v>
      </c>
    </row>
    <row r="53" customFormat="false" ht="23.85" hidden="false" customHeight="false" outlineLevel="0" collapsed="false">
      <c r="A53" s="9" t="s">
        <v>446</v>
      </c>
      <c r="B53" s="9" t="s">
        <v>537</v>
      </c>
      <c r="C53" s="9"/>
      <c r="D53" s="9" t="s">
        <v>538</v>
      </c>
      <c r="E53" s="9" t="s">
        <v>472</v>
      </c>
      <c r="F53" s="3" t="s">
        <v>539</v>
      </c>
      <c r="G53" s="9" t="s">
        <v>445</v>
      </c>
    </row>
    <row r="54" customFormat="false" ht="46.25" hidden="false" customHeight="false" outlineLevel="0" collapsed="false">
      <c r="A54" s="9" t="s">
        <v>41</v>
      </c>
      <c r="B54" s="9" t="s">
        <v>508</v>
      </c>
      <c r="C54" s="9"/>
      <c r="D54" s="9" t="s">
        <v>509</v>
      </c>
      <c r="E54" s="9" t="s">
        <v>449</v>
      </c>
      <c r="F54" s="3" t="s">
        <v>540</v>
      </c>
      <c r="G54" s="9" t="s">
        <v>445</v>
      </c>
    </row>
    <row r="55" customFormat="false" ht="23.85" hidden="false" customHeight="false" outlineLevel="0" collapsed="false">
      <c r="A55" s="9" t="s">
        <v>41</v>
      </c>
      <c r="B55" s="9" t="s">
        <v>273</v>
      </c>
      <c r="C55" s="9"/>
      <c r="D55" s="9" t="s">
        <v>172</v>
      </c>
      <c r="E55" s="9" t="s">
        <v>443</v>
      </c>
      <c r="F55" s="3" t="s">
        <v>541</v>
      </c>
      <c r="G55" s="9" t="s">
        <v>445</v>
      </c>
    </row>
    <row r="56" customFormat="false" ht="23.85" hidden="false" customHeight="false" outlineLevel="0" collapsed="false">
      <c r="A56" s="44" t="s">
        <v>41</v>
      </c>
      <c r="B56" s="44" t="s">
        <v>303</v>
      </c>
      <c r="C56" s="44"/>
      <c r="D56" s="44" t="s">
        <v>193</v>
      </c>
      <c r="E56" s="44" t="s">
        <v>472</v>
      </c>
      <c r="F56" s="45" t="s">
        <v>542</v>
      </c>
      <c r="G56" s="44" t="s">
        <v>468</v>
      </c>
    </row>
    <row r="57" customFormat="false" ht="46.25" hidden="false" customHeight="false" outlineLevel="0" collapsed="false">
      <c r="A57" s="44" t="s">
        <v>41</v>
      </c>
      <c r="B57" s="44" t="s">
        <v>290</v>
      </c>
      <c r="C57" s="44"/>
      <c r="D57" s="44" t="s">
        <v>189</v>
      </c>
      <c r="E57" s="44" t="s">
        <v>472</v>
      </c>
      <c r="F57" s="45" t="s">
        <v>543</v>
      </c>
      <c r="G57" s="44" t="s">
        <v>468</v>
      </c>
    </row>
    <row r="58" customFormat="false" ht="57.45" hidden="false" customHeight="false" outlineLevel="0" collapsed="false">
      <c r="A58" s="9" t="s">
        <v>446</v>
      </c>
      <c r="B58" s="9" t="s">
        <v>544</v>
      </c>
      <c r="C58" s="9"/>
      <c r="D58" s="9" t="s">
        <v>545</v>
      </c>
      <c r="E58" s="9" t="s">
        <v>466</v>
      </c>
      <c r="F58" s="3" t="s">
        <v>546</v>
      </c>
      <c r="G58" s="9" t="s">
        <v>445</v>
      </c>
    </row>
    <row r="59" customFormat="false" ht="15" hidden="false" customHeight="false" outlineLevel="0" collapsed="false">
      <c r="A59" s="9" t="s">
        <v>39</v>
      </c>
      <c r="B59" s="9" t="s">
        <v>327</v>
      </c>
      <c r="C59" s="9"/>
      <c r="D59" s="9" t="s">
        <v>206</v>
      </c>
      <c r="E59" s="9" t="s">
        <v>449</v>
      </c>
      <c r="F59" s="3" t="s">
        <v>547</v>
      </c>
      <c r="G59" s="9" t="s">
        <v>445</v>
      </c>
    </row>
    <row r="60" customFormat="false" ht="23.85" hidden="false" customHeight="false" outlineLevel="0" collapsed="false">
      <c r="A60" s="44" t="s">
        <v>41</v>
      </c>
      <c r="B60" s="44" t="s">
        <v>288</v>
      </c>
      <c r="C60" s="44"/>
      <c r="D60" s="44" t="s">
        <v>212</v>
      </c>
      <c r="E60" s="44" t="s">
        <v>472</v>
      </c>
      <c r="F60" s="45" t="s">
        <v>548</v>
      </c>
      <c r="G60" s="44" t="s">
        <v>468</v>
      </c>
    </row>
    <row r="61" customFormat="false" ht="35.05" hidden="false" customHeight="false" outlineLevel="0" collapsed="false">
      <c r="A61" s="9" t="s">
        <v>41</v>
      </c>
      <c r="B61" s="9" t="s">
        <v>549</v>
      </c>
      <c r="C61" s="9"/>
      <c r="D61" s="9" t="s">
        <v>550</v>
      </c>
      <c r="E61" s="9" t="s">
        <v>472</v>
      </c>
      <c r="F61" s="3" t="s">
        <v>551</v>
      </c>
      <c r="G61" s="9" t="s">
        <v>445</v>
      </c>
    </row>
    <row r="62" customFormat="false" ht="23.85" hidden="false" customHeight="false" outlineLevel="0" collapsed="false">
      <c r="A62" s="44" t="s">
        <v>40</v>
      </c>
      <c r="B62" s="44" t="s">
        <v>284</v>
      </c>
      <c r="C62" s="44"/>
      <c r="D62" s="44" t="s">
        <v>223</v>
      </c>
      <c r="E62" s="44" t="s">
        <v>472</v>
      </c>
      <c r="F62" s="45" t="s">
        <v>552</v>
      </c>
      <c r="G62" s="44" t="s">
        <v>468</v>
      </c>
    </row>
    <row r="63" customFormat="false" ht="15" hidden="false" customHeight="false" outlineLevel="0" collapsed="false">
      <c r="A63" s="9" t="s">
        <v>553</v>
      </c>
      <c r="B63" s="9" t="s">
        <v>263</v>
      </c>
      <c r="C63" s="9"/>
      <c r="D63" s="9" t="s">
        <v>200</v>
      </c>
      <c r="E63" s="9" t="s">
        <v>449</v>
      </c>
      <c r="F63" s="3" t="s">
        <v>554</v>
      </c>
      <c r="G63" s="9" t="s">
        <v>445</v>
      </c>
    </row>
    <row r="64" customFormat="false" ht="23.85" hidden="false" customHeight="false" outlineLevel="0" collapsed="false">
      <c r="A64" s="9" t="s">
        <v>470</v>
      </c>
      <c r="B64" s="9" t="s">
        <v>555</v>
      </c>
      <c r="C64" s="9"/>
      <c r="D64" s="9" t="s">
        <v>556</v>
      </c>
      <c r="E64" s="9" t="s">
        <v>449</v>
      </c>
      <c r="F64" s="3" t="s">
        <v>557</v>
      </c>
      <c r="G64" s="9" t="s">
        <v>445</v>
      </c>
    </row>
    <row r="65" customFormat="false" ht="68.65" hidden="false" customHeight="false" outlineLevel="0" collapsed="false">
      <c r="A65" s="9" t="s">
        <v>451</v>
      </c>
      <c r="B65" s="9" t="s">
        <v>558</v>
      </c>
      <c r="C65" s="9"/>
      <c r="D65" s="9" t="s">
        <v>559</v>
      </c>
      <c r="E65" s="9" t="s">
        <v>472</v>
      </c>
      <c r="F65" s="3" t="s">
        <v>560</v>
      </c>
      <c r="G65" s="9" t="s">
        <v>445</v>
      </c>
    </row>
    <row r="66" customFormat="false" ht="23.85" hidden="false" customHeight="false" outlineLevel="0" collapsed="false">
      <c r="A66" s="9" t="s">
        <v>470</v>
      </c>
      <c r="B66" s="9" t="s">
        <v>261</v>
      </c>
      <c r="C66" s="9"/>
      <c r="D66" s="9" t="s">
        <v>166</v>
      </c>
      <c r="E66" s="9" t="s">
        <v>449</v>
      </c>
      <c r="F66" s="3" t="s">
        <v>561</v>
      </c>
      <c r="G66" s="9" t="s">
        <v>445</v>
      </c>
    </row>
    <row r="67" customFormat="false" ht="113.4" hidden="false" customHeight="false" outlineLevel="0" collapsed="false">
      <c r="A67" s="9" t="s">
        <v>446</v>
      </c>
      <c r="B67" s="9" t="s">
        <v>346</v>
      </c>
      <c r="C67" s="9"/>
      <c r="D67" s="9" t="s">
        <v>164</v>
      </c>
      <c r="E67" s="9" t="s">
        <v>449</v>
      </c>
      <c r="F67" s="3" t="s">
        <v>562</v>
      </c>
      <c r="G67" s="9" t="s">
        <v>445</v>
      </c>
    </row>
    <row r="68" customFormat="false" ht="15" hidden="false" customHeight="false" outlineLevel="0" collapsed="false">
      <c r="A68" s="9" t="s">
        <v>41</v>
      </c>
      <c r="B68" s="9" t="s">
        <v>563</v>
      </c>
      <c r="C68" s="9"/>
      <c r="D68" s="9" t="s">
        <v>564</v>
      </c>
      <c r="E68" s="9" t="s">
        <v>466</v>
      </c>
      <c r="F68" s="3" t="s">
        <v>565</v>
      </c>
      <c r="G68" s="9" t="s">
        <v>445</v>
      </c>
    </row>
    <row r="69" customFormat="false" ht="57.45" hidden="false" customHeight="false" outlineLevel="0" collapsed="false">
      <c r="A69" s="9" t="s">
        <v>470</v>
      </c>
      <c r="B69" s="9" t="s">
        <v>566</v>
      </c>
      <c r="C69" s="9"/>
      <c r="D69" s="9" t="s">
        <v>567</v>
      </c>
      <c r="E69" s="9" t="s">
        <v>449</v>
      </c>
      <c r="F69" s="3" t="s">
        <v>568</v>
      </c>
      <c r="G69" s="9" t="s">
        <v>445</v>
      </c>
    </row>
    <row r="70" customFormat="false" ht="23.85" hidden="false" customHeight="false" outlineLevel="0" collapsed="false">
      <c r="A70" s="44" t="s">
        <v>40</v>
      </c>
      <c r="B70" s="44" t="s">
        <v>315</v>
      </c>
      <c r="C70" s="44"/>
      <c r="D70" s="44" t="s">
        <v>222</v>
      </c>
      <c r="E70" s="44" t="s">
        <v>472</v>
      </c>
      <c r="F70" s="45" t="s">
        <v>569</v>
      </c>
      <c r="G70" s="44" t="s">
        <v>468</v>
      </c>
    </row>
    <row r="71" customFormat="false" ht="35.05" hidden="false" customHeight="false" outlineLevel="0" collapsed="false">
      <c r="A71" s="9" t="s">
        <v>446</v>
      </c>
      <c r="B71" s="9" t="s">
        <v>570</v>
      </c>
      <c r="C71" s="9"/>
      <c r="D71" s="9" t="s">
        <v>571</v>
      </c>
      <c r="E71" s="9" t="s">
        <v>449</v>
      </c>
      <c r="F71" s="3" t="s">
        <v>572</v>
      </c>
      <c r="G71" s="9" t="s">
        <v>445</v>
      </c>
    </row>
    <row r="72" customFormat="false" ht="35.05" hidden="false" customHeight="false" outlineLevel="0" collapsed="false">
      <c r="A72" s="9" t="s">
        <v>451</v>
      </c>
      <c r="B72" s="9" t="s">
        <v>496</v>
      </c>
      <c r="C72" s="9"/>
      <c r="D72" s="9" t="s">
        <v>497</v>
      </c>
      <c r="E72" s="9" t="s">
        <v>498</v>
      </c>
      <c r="F72" s="3" t="s">
        <v>573</v>
      </c>
      <c r="G72" s="9" t="s">
        <v>445</v>
      </c>
    </row>
    <row r="73" customFormat="false" ht="23.85" hidden="false" customHeight="false" outlineLevel="0" collapsed="false">
      <c r="A73" s="9" t="s">
        <v>41</v>
      </c>
      <c r="B73" s="9" t="s">
        <v>527</v>
      </c>
      <c r="C73" s="9"/>
      <c r="D73" s="9" t="s">
        <v>528</v>
      </c>
      <c r="E73" s="9" t="s">
        <v>449</v>
      </c>
      <c r="F73" s="3" t="s">
        <v>574</v>
      </c>
      <c r="G73" s="9" t="s">
        <v>445</v>
      </c>
    </row>
    <row r="74" customFormat="false" ht="15" hidden="false" customHeight="false" outlineLevel="0" collapsed="false">
      <c r="A74" s="9" t="s">
        <v>553</v>
      </c>
      <c r="B74" s="9" t="s">
        <v>575</v>
      </c>
      <c r="C74" s="9"/>
      <c r="D74" s="9" t="s">
        <v>576</v>
      </c>
      <c r="E74" s="9" t="s">
        <v>472</v>
      </c>
      <c r="F74" s="3" t="s">
        <v>577</v>
      </c>
      <c r="G74" s="9" t="s">
        <v>445</v>
      </c>
    </row>
    <row r="75" customFormat="false" ht="57.45" hidden="false" customHeight="false" outlineLevel="0" collapsed="false">
      <c r="A75" s="9" t="s">
        <v>446</v>
      </c>
      <c r="B75" s="9" t="s">
        <v>245</v>
      </c>
      <c r="C75" s="9"/>
      <c r="D75" s="9" t="s">
        <v>204</v>
      </c>
      <c r="E75" s="9" t="s">
        <v>449</v>
      </c>
      <c r="F75" s="3" t="s">
        <v>578</v>
      </c>
      <c r="G75" s="9" t="s">
        <v>445</v>
      </c>
    </row>
    <row r="76" customFormat="false" ht="35.05" hidden="false" customHeight="false" outlineLevel="0" collapsed="false">
      <c r="A76" s="9" t="s">
        <v>41</v>
      </c>
      <c r="B76" s="9" t="s">
        <v>447</v>
      </c>
      <c r="C76" s="9"/>
      <c r="D76" s="9" t="s">
        <v>448</v>
      </c>
      <c r="E76" s="9" t="s">
        <v>472</v>
      </c>
      <c r="F76" s="3" t="s">
        <v>579</v>
      </c>
      <c r="G76" s="9" t="s">
        <v>445</v>
      </c>
    </row>
    <row r="77" customFormat="false" ht="35.05" hidden="false" customHeight="false" outlineLevel="0" collapsed="false">
      <c r="A77" s="9" t="s">
        <v>39</v>
      </c>
      <c r="B77" s="9" t="s">
        <v>101</v>
      </c>
      <c r="C77" s="9"/>
      <c r="D77" s="9" t="s">
        <v>155</v>
      </c>
      <c r="E77" s="9" t="s">
        <v>449</v>
      </c>
      <c r="F77" s="3" t="s">
        <v>580</v>
      </c>
      <c r="G77" s="9" t="s">
        <v>445</v>
      </c>
    </row>
    <row r="78" customFormat="false" ht="113.4" hidden="false" customHeight="false" outlineLevel="0" collapsed="false">
      <c r="A78" s="9" t="s">
        <v>442</v>
      </c>
      <c r="B78" s="9" t="s">
        <v>245</v>
      </c>
      <c r="C78" s="9"/>
      <c r="D78" s="9" t="s">
        <v>204</v>
      </c>
      <c r="E78" s="9" t="s">
        <v>449</v>
      </c>
      <c r="F78" s="3" t="s">
        <v>581</v>
      </c>
      <c r="G78" s="9" t="s">
        <v>445</v>
      </c>
    </row>
    <row r="79" customFormat="false" ht="35.05" hidden="false" customHeight="false" outlineLevel="0" collapsed="false">
      <c r="A79" s="9" t="s">
        <v>446</v>
      </c>
      <c r="B79" s="9" t="s">
        <v>278</v>
      </c>
      <c r="C79" s="9"/>
      <c r="D79" s="9" t="s">
        <v>220</v>
      </c>
      <c r="E79" s="9" t="s">
        <v>449</v>
      </c>
      <c r="F79" s="3" t="s">
        <v>582</v>
      </c>
      <c r="G79" s="9" t="s">
        <v>445</v>
      </c>
    </row>
    <row r="80" customFormat="false" ht="35.05" hidden="false" customHeight="false" outlineLevel="0" collapsed="false">
      <c r="A80" s="9" t="s">
        <v>41</v>
      </c>
      <c r="B80" s="9" t="s">
        <v>277</v>
      </c>
      <c r="C80" s="9"/>
      <c r="D80" s="9" t="s">
        <v>202</v>
      </c>
      <c r="E80" s="9" t="s">
        <v>449</v>
      </c>
      <c r="F80" s="3" t="s">
        <v>583</v>
      </c>
      <c r="G80" s="9" t="s">
        <v>445</v>
      </c>
    </row>
    <row r="81" customFormat="false" ht="15" hidden="false" customHeight="false" outlineLevel="0" collapsed="false">
      <c r="A81" s="9" t="s">
        <v>41</v>
      </c>
      <c r="B81" s="9" t="s">
        <v>291</v>
      </c>
      <c r="C81" s="9"/>
      <c r="D81" s="9" t="s">
        <v>165</v>
      </c>
      <c r="E81" s="9" t="s">
        <v>449</v>
      </c>
      <c r="F81" s="3" t="s">
        <v>584</v>
      </c>
      <c r="G81" s="9" t="s">
        <v>445</v>
      </c>
    </row>
    <row r="82" customFormat="false" ht="35.05" hidden="false" customHeight="false" outlineLevel="0" collapsed="false">
      <c r="A82" s="44" t="s">
        <v>41</v>
      </c>
      <c r="B82" s="44" t="s">
        <v>257</v>
      </c>
      <c r="C82" s="44"/>
      <c r="D82" s="44" t="s">
        <v>209</v>
      </c>
      <c r="E82" s="44" t="s">
        <v>472</v>
      </c>
      <c r="F82" s="45" t="s">
        <v>585</v>
      </c>
      <c r="G82" s="44" t="s">
        <v>468</v>
      </c>
    </row>
    <row r="83" customFormat="false" ht="35.05" hidden="false" customHeight="false" outlineLevel="0" collapsed="false">
      <c r="A83" s="9" t="s">
        <v>470</v>
      </c>
      <c r="B83" s="9" t="s">
        <v>263</v>
      </c>
      <c r="C83" s="9"/>
      <c r="D83" s="9" t="s">
        <v>200</v>
      </c>
      <c r="E83" s="9" t="s">
        <v>449</v>
      </c>
      <c r="F83" s="3" t="s">
        <v>586</v>
      </c>
      <c r="G83" s="9" t="s">
        <v>445</v>
      </c>
    </row>
    <row r="84" customFormat="false" ht="23.85" hidden="false" customHeight="false" outlineLevel="0" collapsed="false">
      <c r="A84" s="44" t="s">
        <v>40</v>
      </c>
      <c r="B84" s="44" t="s">
        <v>257</v>
      </c>
      <c r="C84" s="44"/>
      <c r="D84" s="44" t="s">
        <v>209</v>
      </c>
      <c r="E84" s="44" t="s">
        <v>472</v>
      </c>
      <c r="F84" s="45" t="s">
        <v>587</v>
      </c>
      <c r="G84" s="44" t="s">
        <v>468</v>
      </c>
    </row>
    <row r="85" customFormat="false" ht="46.25" hidden="false" customHeight="false" outlineLevel="0" collapsed="false">
      <c r="A85" s="9" t="s">
        <v>442</v>
      </c>
      <c r="B85" s="9" t="s">
        <v>477</v>
      </c>
      <c r="C85" s="9"/>
      <c r="D85" s="9" t="s">
        <v>478</v>
      </c>
      <c r="E85" s="9" t="s">
        <v>449</v>
      </c>
      <c r="F85" s="3" t="s">
        <v>588</v>
      </c>
      <c r="G85" s="9" t="s">
        <v>445</v>
      </c>
    </row>
    <row r="86" customFormat="false" ht="113.4" hidden="false" customHeight="false" outlineLevel="0" collapsed="false">
      <c r="A86" s="9" t="s">
        <v>442</v>
      </c>
      <c r="B86" s="9" t="s">
        <v>343</v>
      </c>
      <c r="C86" s="9"/>
      <c r="D86" s="9" t="s">
        <v>192</v>
      </c>
      <c r="E86" s="9" t="s">
        <v>449</v>
      </c>
      <c r="F86" s="3" t="s">
        <v>589</v>
      </c>
      <c r="G86" s="9" t="s">
        <v>445</v>
      </c>
    </row>
    <row r="87" customFormat="false" ht="23.85" hidden="false" customHeight="false" outlineLevel="0" collapsed="false">
      <c r="A87" s="9" t="s">
        <v>40</v>
      </c>
      <c r="B87" s="9" t="s">
        <v>281</v>
      </c>
      <c r="C87" s="9"/>
      <c r="D87" s="9" t="s">
        <v>174</v>
      </c>
      <c r="E87" s="9" t="s">
        <v>449</v>
      </c>
      <c r="F87" s="3" t="s">
        <v>590</v>
      </c>
      <c r="G87" s="9" t="s">
        <v>445</v>
      </c>
    </row>
    <row r="88" customFormat="false" ht="23.85" hidden="false" customHeight="false" outlineLevel="0" collapsed="false">
      <c r="A88" s="9" t="s">
        <v>470</v>
      </c>
      <c r="B88" s="9" t="s">
        <v>591</v>
      </c>
      <c r="C88" s="9"/>
      <c r="D88" s="9" t="s">
        <v>592</v>
      </c>
      <c r="E88" s="9" t="s">
        <v>449</v>
      </c>
      <c r="F88" s="3" t="s">
        <v>593</v>
      </c>
      <c r="G88" s="9" t="s">
        <v>445</v>
      </c>
    </row>
    <row r="89" customFormat="false" ht="15" hidden="false" customHeight="false" outlineLevel="0" collapsed="false">
      <c r="A89" s="9" t="s">
        <v>594</v>
      </c>
      <c r="B89" s="9" t="s">
        <v>511</v>
      </c>
      <c r="C89" s="9"/>
      <c r="D89" s="9" t="s">
        <v>512</v>
      </c>
      <c r="E89" s="9" t="s">
        <v>449</v>
      </c>
      <c r="F89" s="3" t="s">
        <v>595</v>
      </c>
      <c r="G89" s="9" t="s">
        <v>445</v>
      </c>
    </row>
    <row r="90" customFormat="false" ht="68.65" hidden="false" customHeight="false" outlineLevel="0" collapsed="false">
      <c r="A90" s="9" t="s">
        <v>446</v>
      </c>
      <c r="B90" s="9" t="s">
        <v>596</v>
      </c>
      <c r="C90" s="9"/>
      <c r="D90" s="9" t="s">
        <v>597</v>
      </c>
      <c r="E90" s="9" t="s">
        <v>449</v>
      </c>
      <c r="F90" s="3" t="s">
        <v>598</v>
      </c>
      <c r="G90" s="9" t="s">
        <v>445</v>
      </c>
    </row>
    <row r="91" customFormat="false" ht="46.25" hidden="false" customHeight="false" outlineLevel="0" collapsed="false">
      <c r="A91" s="44" t="s">
        <v>39</v>
      </c>
      <c r="B91" s="44" t="s">
        <v>281</v>
      </c>
      <c r="C91" s="44"/>
      <c r="D91" s="44" t="s">
        <v>174</v>
      </c>
      <c r="E91" s="44" t="s">
        <v>472</v>
      </c>
      <c r="F91" s="45" t="s">
        <v>599</v>
      </c>
      <c r="G91" s="44" t="s">
        <v>468</v>
      </c>
    </row>
    <row r="92" customFormat="false" ht="46.25" hidden="false" customHeight="false" outlineLevel="0" collapsed="false">
      <c r="A92" s="44" t="s">
        <v>40</v>
      </c>
      <c r="B92" s="44" t="s">
        <v>276</v>
      </c>
      <c r="C92" s="44"/>
      <c r="D92" s="44" t="s">
        <v>180</v>
      </c>
      <c r="E92" s="44" t="s">
        <v>472</v>
      </c>
      <c r="F92" s="45" t="s">
        <v>600</v>
      </c>
      <c r="G92" s="44" t="s">
        <v>468</v>
      </c>
    </row>
    <row r="93" customFormat="false" ht="23.85" hidden="false" customHeight="false" outlineLevel="0" collapsed="false">
      <c r="A93" s="9" t="s">
        <v>442</v>
      </c>
      <c r="B93" s="9" t="s">
        <v>601</v>
      </c>
      <c r="C93" s="9"/>
      <c r="D93" s="9" t="s">
        <v>602</v>
      </c>
      <c r="E93" s="9" t="s">
        <v>449</v>
      </c>
      <c r="F93" s="3" t="s">
        <v>603</v>
      </c>
      <c r="G93" s="9" t="s">
        <v>445</v>
      </c>
    </row>
    <row r="94" customFormat="false" ht="23.85" hidden="false" customHeight="false" outlineLevel="0" collapsed="false">
      <c r="A94" s="9" t="s">
        <v>41</v>
      </c>
      <c r="B94" s="9" t="s">
        <v>480</v>
      </c>
      <c r="C94" s="9"/>
      <c r="D94" s="9" t="s">
        <v>481</v>
      </c>
      <c r="E94" s="9" t="s">
        <v>449</v>
      </c>
      <c r="F94" s="3" t="s">
        <v>604</v>
      </c>
      <c r="G94" s="9" t="s">
        <v>445</v>
      </c>
    </row>
    <row r="95" customFormat="false" ht="35.05" hidden="false" customHeight="false" outlineLevel="0" collapsed="false">
      <c r="A95" s="44" t="s">
        <v>41</v>
      </c>
      <c r="B95" s="44" t="s">
        <v>276</v>
      </c>
      <c r="C95" s="44"/>
      <c r="D95" s="44" t="s">
        <v>180</v>
      </c>
      <c r="E95" s="44" t="s">
        <v>472</v>
      </c>
      <c r="F95" s="45" t="s">
        <v>605</v>
      </c>
      <c r="G95" s="44" t="s">
        <v>468</v>
      </c>
    </row>
    <row r="96" customFormat="false" ht="35.05" hidden="false" customHeight="false" outlineLevel="0" collapsed="false">
      <c r="A96" s="9" t="s">
        <v>438</v>
      </c>
      <c r="B96" s="9" t="s">
        <v>606</v>
      </c>
      <c r="C96" s="9"/>
      <c r="D96" s="9" t="s">
        <v>607</v>
      </c>
      <c r="E96" s="9" t="s">
        <v>449</v>
      </c>
      <c r="F96" s="3" t="s">
        <v>608</v>
      </c>
      <c r="G96" s="9" t="s">
        <v>445</v>
      </c>
    </row>
    <row r="97" customFormat="false" ht="68.65" hidden="false" customHeight="false" outlineLevel="0" collapsed="false">
      <c r="A97" s="9" t="s">
        <v>41</v>
      </c>
      <c r="B97" s="9" t="s">
        <v>290</v>
      </c>
      <c r="C97" s="9"/>
      <c r="D97" s="9" t="s">
        <v>189</v>
      </c>
      <c r="E97" s="9" t="s">
        <v>449</v>
      </c>
      <c r="F97" s="3" t="s">
        <v>609</v>
      </c>
      <c r="G97" s="9" t="s">
        <v>445</v>
      </c>
    </row>
    <row r="98" customFormat="false" ht="57.45" hidden="false" customHeight="false" outlineLevel="0" collapsed="false">
      <c r="A98" s="9" t="s">
        <v>41</v>
      </c>
      <c r="B98" s="9" t="s">
        <v>477</v>
      </c>
      <c r="C98" s="9"/>
      <c r="D98" s="9" t="s">
        <v>478</v>
      </c>
      <c r="E98" s="9" t="s">
        <v>449</v>
      </c>
      <c r="F98" s="3" t="s">
        <v>610</v>
      </c>
      <c r="G98" s="9" t="s">
        <v>445</v>
      </c>
    </row>
    <row r="99" customFormat="false" ht="23.85" hidden="false" customHeight="false" outlineLevel="0" collapsed="false">
      <c r="A99" s="9" t="s">
        <v>462</v>
      </c>
      <c r="B99" s="9" t="s">
        <v>611</v>
      </c>
      <c r="C99" s="9"/>
      <c r="D99" s="9" t="s">
        <v>612</v>
      </c>
      <c r="E99" s="9" t="s">
        <v>449</v>
      </c>
      <c r="F99" s="3" t="s">
        <v>613</v>
      </c>
      <c r="G99" s="9" t="s">
        <v>445</v>
      </c>
    </row>
    <row r="100" customFormat="false" ht="23.85" hidden="false" customHeight="false" outlineLevel="0" collapsed="false">
      <c r="A100" s="9" t="s">
        <v>470</v>
      </c>
      <c r="B100" s="9" t="s">
        <v>614</v>
      </c>
      <c r="C100" s="9"/>
      <c r="D100" s="9" t="s">
        <v>615</v>
      </c>
      <c r="E100" s="9" t="s">
        <v>449</v>
      </c>
      <c r="F100" s="3" t="s">
        <v>616</v>
      </c>
      <c r="G100" s="9" t="s">
        <v>445</v>
      </c>
    </row>
    <row r="101" customFormat="false" ht="35.05" hidden="false" customHeight="false" outlineLevel="0" collapsed="false">
      <c r="A101" s="44" t="s">
        <v>40</v>
      </c>
      <c r="B101" s="44" t="s">
        <v>252</v>
      </c>
      <c r="C101" s="44"/>
      <c r="D101" s="44" t="s">
        <v>187</v>
      </c>
      <c r="E101" s="44" t="s">
        <v>472</v>
      </c>
      <c r="F101" s="45" t="s">
        <v>617</v>
      </c>
      <c r="G101" s="44" t="s">
        <v>468</v>
      </c>
    </row>
    <row r="102" customFormat="false" ht="35.05" hidden="false" customHeight="false" outlineLevel="0" collapsed="false">
      <c r="A102" s="9" t="s">
        <v>41</v>
      </c>
      <c r="B102" s="9" t="s">
        <v>447</v>
      </c>
      <c r="C102" s="9"/>
      <c r="D102" s="9" t="s">
        <v>448</v>
      </c>
      <c r="E102" s="9" t="s">
        <v>449</v>
      </c>
      <c r="F102" s="3" t="s">
        <v>618</v>
      </c>
      <c r="G102" s="9" t="s">
        <v>445</v>
      </c>
    </row>
    <row r="103" customFormat="false" ht="46.25" hidden="false" customHeight="false" outlineLevel="0" collapsed="false">
      <c r="A103" s="44" t="s">
        <v>41</v>
      </c>
      <c r="B103" s="44" t="s">
        <v>347</v>
      </c>
      <c r="C103" s="44"/>
      <c r="D103" s="44" t="s">
        <v>160</v>
      </c>
      <c r="E103" s="44" t="s">
        <v>619</v>
      </c>
      <c r="F103" s="45" t="s">
        <v>620</v>
      </c>
      <c r="G103" s="44" t="s">
        <v>468</v>
      </c>
    </row>
    <row r="104" customFormat="false" ht="23.85" hidden="false" customHeight="false" outlineLevel="0" collapsed="false">
      <c r="A104" s="9" t="s">
        <v>451</v>
      </c>
      <c r="B104" s="9" t="s">
        <v>558</v>
      </c>
      <c r="C104" s="9"/>
      <c r="D104" s="9" t="s">
        <v>559</v>
      </c>
      <c r="E104" s="9" t="s">
        <v>449</v>
      </c>
      <c r="F104" s="3" t="s">
        <v>621</v>
      </c>
      <c r="G104" s="9" t="s">
        <v>445</v>
      </c>
    </row>
    <row r="105" customFormat="false" ht="46.25" hidden="false" customHeight="false" outlineLevel="0" collapsed="false">
      <c r="A105" s="9" t="s">
        <v>41</v>
      </c>
      <c r="B105" s="9" t="s">
        <v>522</v>
      </c>
      <c r="C105" s="9"/>
      <c r="D105" s="9" t="s">
        <v>523</v>
      </c>
      <c r="E105" s="9" t="s">
        <v>449</v>
      </c>
      <c r="F105" s="3" t="s">
        <v>622</v>
      </c>
      <c r="G105" s="9" t="s">
        <v>445</v>
      </c>
    </row>
    <row r="106" customFormat="false" ht="57.45" hidden="false" customHeight="false" outlineLevel="0" collapsed="false">
      <c r="A106" s="9" t="s">
        <v>40</v>
      </c>
      <c r="B106" s="9" t="s">
        <v>623</v>
      </c>
      <c r="C106" s="9"/>
      <c r="D106" s="9" t="s">
        <v>624</v>
      </c>
      <c r="E106" s="9" t="s">
        <v>449</v>
      </c>
      <c r="F106" s="3" t="s">
        <v>625</v>
      </c>
      <c r="G106" s="9" t="s">
        <v>445</v>
      </c>
    </row>
    <row r="107" customFormat="false" ht="15" hidden="false" customHeight="false" outlineLevel="0" collapsed="false">
      <c r="A107" s="9" t="s">
        <v>626</v>
      </c>
      <c r="B107" s="9" t="s">
        <v>496</v>
      </c>
      <c r="C107" s="9"/>
      <c r="D107" s="9" t="s">
        <v>497</v>
      </c>
      <c r="E107" s="9" t="s">
        <v>449</v>
      </c>
      <c r="F107" s="3" t="s">
        <v>627</v>
      </c>
      <c r="G107" s="9" t="s">
        <v>445</v>
      </c>
    </row>
    <row r="108" customFormat="false" ht="23.85" hidden="false" customHeight="false" outlineLevel="0" collapsed="false">
      <c r="A108" s="9" t="s">
        <v>39</v>
      </c>
      <c r="B108" s="9" t="s">
        <v>628</v>
      </c>
      <c r="C108" s="9"/>
      <c r="D108" s="9" t="s">
        <v>629</v>
      </c>
      <c r="E108" s="9" t="s">
        <v>472</v>
      </c>
      <c r="F108" s="3" t="s">
        <v>630</v>
      </c>
      <c r="G108" s="9" t="s">
        <v>445</v>
      </c>
    </row>
    <row r="109" customFormat="false" ht="23.85" hidden="false" customHeight="false" outlineLevel="0" collapsed="false">
      <c r="A109" s="44" t="s">
        <v>553</v>
      </c>
      <c r="B109" s="44" t="s">
        <v>251</v>
      </c>
      <c r="C109" s="44"/>
      <c r="D109" s="44" t="s">
        <v>184</v>
      </c>
      <c r="E109" s="44" t="s">
        <v>472</v>
      </c>
      <c r="F109" s="45" t="s">
        <v>631</v>
      </c>
      <c r="G109" s="44" t="s">
        <v>468</v>
      </c>
    </row>
    <row r="110" customFormat="false" ht="23.85" hidden="false" customHeight="false" outlineLevel="0" collapsed="false">
      <c r="A110" s="44" t="s">
        <v>40</v>
      </c>
      <c r="B110" s="44" t="s">
        <v>300</v>
      </c>
      <c r="C110" s="44"/>
      <c r="D110" s="44" t="s">
        <v>161</v>
      </c>
      <c r="E110" s="44" t="s">
        <v>472</v>
      </c>
      <c r="F110" s="45" t="s">
        <v>632</v>
      </c>
      <c r="G110" s="44" t="s">
        <v>468</v>
      </c>
    </row>
    <row r="111" customFormat="false" ht="15" hidden="false" customHeight="false" outlineLevel="0" collapsed="false">
      <c r="A111" s="44" t="s">
        <v>40</v>
      </c>
      <c r="B111" s="44" t="s">
        <v>288</v>
      </c>
      <c r="C111" s="44"/>
      <c r="D111" s="44" t="s">
        <v>212</v>
      </c>
      <c r="E111" s="44" t="s">
        <v>472</v>
      </c>
      <c r="F111" s="45" t="s">
        <v>633</v>
      </c>
      <c r="G111" s="44" t="s">
        <v>468</v>
      </c>
    </row>
    <row r="112" customFormat="false" ht="35.05" hidden="false" customHeight="false" outlineLevel="0" collapsed="false">
      <c r="A112" s="9" t="s">
        <v>40</v>
      </c>
      <c r="B112" s="9" t="s">
        <v>277</v>
      </c>
      <c r="C112" s="9"/>
      <c r="D112" s="9" t="s">
        <v>202</v>
      </c>
      <c r="E112" s="9" t="s">
        <v>449</v>
      </c>
      <c r="F112" s="3" t="s">
        <v>634</v>
      </c>
      <c r="G112" s="9" t="s">
        <v>445</v>
      </c>
    </row>
    <row r="113" customFormat="false" ht="102.2" hidden="false" customHeight="false" outlineLevel="0" collapsed="false">
      <c r="A113" s="9" t="s">
        <v>451</v>
      </c>
      <c r="B113" s="9" t="s">
        <v>343</v>
      </c>
      <c r="C113" s="9"/>
      <c r="D113" s="9" t="s">
        <v>192</v>
      </c>
      <c r="E113" s="9" t="s">
        <v>449</v>
      </c>
      <c r="F113" s="3" t="s">
        <v>635</v>
      </c>
      <c r="G113" s="9" t="s">
        <v>445</v>
      </c>
    </row>
    <row r="114" customFormat="false" ht="68.65" hidden="false" customHeight="false" outlineLevel="0" collapsed="false">
      <c r="A114" s="9" t="s">
        <v>39</v>
      </c>
      <c r="B114" s="9" t="s">
        <v>277</v>
      </c>
      <c r="C114" s="9"/>
      <c r="D114" s="9" t="s">
        <v>202</v>
      </c>
      <c r="E114" s="9" t="s">
        <v>449</v>
      </c>
      <c r="F114" s="3" t="s">
        <v>636</v>
      </c>
      <c r="G114" s="9" t="s">
        <v>445</v>
      </c>
    </row>
    <row r="115" customFormat="false" ht="68.65" hidden="false" customHeight="false" outlineLevel="0" collapsed="false">
      <c r="A115" s="9" t="s">
        <v>39</v>
      </c>
      <c r="B115" s="9" t="s">
        <v>558</v>
      </c>
      <c r="C115" s="9"/>
      <c r="D115" s="9" t="s">
        <v>559</v>
      </c>
      <c r="E115" s="9" t="s">
        <v>472</v>
      </c>
      <c r="F115" s="3" t="s">
        <v>637</v>
      </c>
      <c r="G115" s="9" t="s">
        <v>445</v>
      </c>
    </row>
    <row r="116" customFormat="false" ht="46.25" hidden="false" customHeight="false" outlineLevel="0" collapsed="false">
      <c r="A116" s="9" t="s">
        <v>451</v>
      </c>
      <c r="B116" s="9" t="s">
        <v>522</v>
      </c>
      <c r="C116" s="9"/>
      <c r="D116" s="9" t="s">
        <v>523</v>
      </c>
      <c r="E116" s="9" t="s">
        <v>449</v>
      </c>
      <c r="F116" s="3" t="s">
        <v>638</v>
      </c>
      <c r="G116" s="9" t="s">
        <v>445</v>
      </c>
    </row>
    <row r="117" customFormat="false" ht="35.05" hidden="false" customHeight="false" outlineLevel="0" collapsed="false">
      <c r="A117" s="9" t="s">
        <v>40</v>
      </c>
      <c r="B117" s="9" t="s">
        <v>639</v>
      </c>
      <c r="C117" s="9"/>
      <c r="D117" s="9" t="s">
        <v>640</v>
      </c>
      <c r="E117" s="9" t="s">
        <v>466</v>
      </c>
      <c r="F117" s="3" t="s">
        <v>641</v>
      </c>
      <c r="G117" s="9" t="s">
        <v>445</v>
      </c>
    </row>
    <row r="118" customFormat="false" ht="15" hidden="false" customHeight="false" outlineLevel="0" collapsed="false">
      <c r="A118" s="9" t="s">
        <v>442</v>
      </c>
      <c r="B118" s="9" t="s">
        <v>480</v>
      </c>
      <c r="C118" s="9"/>
      <c r="D118" s="9" t="s">
        <v>481</v>
      </c>
      <c r="E118" s="9" t="s">
        <v>642</v>
      </c>
      <c r="F118" s="3" t="s">
        <v>643</v>
      </c>
      <c r="G118" s="9" t="s">
        <v>445</v>
      </c>
    </row>
    <row r="119" customFormat="false" ht="23.85" hidden="false" customHeight="false" outlineLevel="0" collapsed="false">
      <c r="A119" s="9" t="s">
        <v>40</v>
      </c>
      <c r="B119" s="9" t="s">
        <v>477</v>
      </c>
      <c r="C119" s="9"/>
      <c r="D119" s="9" t="s">
        <v>478</v>
      </c>
      <c r="E119" s="9" t="s">
        <v>472</v>
      </c>
      <c r="F119" s="3" t="s">
        <v>644</v>
      </c>
      <c r="G119" s="9" t="s">
        <v>445</v>
      </c>
    </row>
    <row r="120" customFormat="false" ht="15" hidden="false" customHeight="false" outlineLevel="0" collapsed="false">
      <c r="A120" s="9" t="s">
        <v>438</v>
      </c>
      <c r="B120" s="9" t="s">
        <v>295</v>
      </c>
      <c r="C120" s="9"/>
      <c r="D120" s="9" t="s">
        <v>185</v>
      </c>
      <c r="E120" s="9" t="s">
        <v>449</v>
      </c>
      <c r="F120" s="3" t="s">
        <v>645</v>
      </c>
      <c r="G120" s="9" t="s">
        <v>445</v>
      </c>
    </row>
    <row r="121" customFormat="false" ht="35.05" hidden="false" customHeight="false" outlineLevel="0" collapsed="false">
      <c r="A121" s="9" t="s">
        <v>451</v>
      </c>
      <c r="B121" s="9" t="s">
        <v>447</v>
      </c>
      <c r="C121" s="9"/>
      <c r="D121" s="9" t="s">
        <v>448</v>
      </c>
      <c r="E121" s="9" t="s">
        <v>449</v>
      </c>
      <c r="F121" s="3" t="s">
        <v>646</v>
      </c>
      <c r="G121" s="9" t="s">
        <v>445</v>
      </c>
    </row>
    <row r="122" customFormat="false" ht="23.85" hidden="false" customHeight="false" outlineLevel="0" collapsed="false">
      <c r="A122" s="9" t="s">
        <v>39</v>
      </c>
      <c r="B122" s="9" t="s">
        <v>500</v>
      </c>
      <c r="C122" s="9"/>
      <c r="D122" s="9" t="s">
        <v>501</v>
      </c>
      <c r="E122" s="9" t="s">
        <v>449</v>
      </c>
      <c r="F122" s="3" t="s">
        <v>647</v>
      </c>
      <c r="G122" s="9" t="s">
        <v>445</v>
      </c>
    </row>
    <row r="123" customFormat="false" ht="57.45" hidden="false" customHeight="false" outlineLevel="0" collapsed="false">
      <c r="A123" s="9" t="s">
        <v>41</v>
      </c>
      <c r="B123" s="9" t="s">
        <v>264</v>
      </c>
      <c r="C123" s="9"/>
      <c r="D123" s="9" t="s">
        <v>203</v>
      </c>
      <c r="E123" s="9" t="s">
        <v>449</v>
      </c>
      <c r="F123" s="3" t="s">
        <v>648</v>
      </c>
      <c r="G123" s="9" t="s">
        <v>445</v>
      </c>
    </row>
    <row r="124" customFormat="false" ht="102.2" hidden="false" customHeight="false" outlineLevel="0" collapsed="false">
      <c r="A124" s="9" t="s">
        <v>446</v>
      </c>
      <c r="B124" s="9" t="s">
        <v>566</v>
      </c>
      <c r="C124" s="9"/>
      <c r="D124" s="9" t="s">
        <v>567</v>
      </c>
      <c r="E124" s="9" t="s">
        <v>498</v>
      </c>
      <c r="F124" s="3" t="s">
        <v>649</v>
      </c>
      <c r="G124" s="9" t="s">
        <v>445</v>
      </c>
    </row>
    <row r="125" customFormat="false" ht="23.85" hidden="false" customHeight="false" outlineLevel="0" collapsed="false">
      <c r="A125" s="9" t="s">
        <v>446</v>
      </c>
      <c r="B125" s="9" t="s">
        <v>596</v>
      </c>
      <c r="C125" s="9"/>
      <c r="D125" s="9" t="s">
        <v>597</v>
      </c>
      <c r="E125" s="9" t="s">
        <v>472</v>
      </c>
      <c r="F125" s="3" t="s">
        <v>650</v>
      </c>
      <c r="G125" s="9" t="s">
        <v>445</v>
      </c>
    </row>
    <row r="126" customFormat="false" ht="68.65" hidden="false" customHeight="false" outlineLevel="0" collapsed="false">
      <c r="A126" s="9" t="s">
        <v>442</v>
      </c>
      <c r="B126" s="9" t="s">
        <v>570</v>
      </c>
      <c r="C126" s="9"/>
      <c r="D126" s="9" t="s">
        <v>571</v>
      </c>
      <c r="E126" s="9" t="s">
        <v>449</v>
      </c>
      <c r="F126" s="3" t="s">
        <v>651</v>
      </c>
      <c r="G126" s="9" t="s">
        <v>445</v>
      </c>
    </row>
    <row r="127" customFormat="false" ht="35.05" hidden="false" customHeight="false" outlineLevel="0" collapsed="false">
      <c r="A127" s="9" t="s">
        <v>446</v>
      </c>
      <c r="B127" s="9"/>
      <c r="C127" s="9"/>
      <c r="D127" s="9"/>
      <c r="E127" s="9" t="s">
        <v>443</v>
      </c>
      <c r="F127" s="3" t="s">
        <v>652</v>
      </c>
      <c r="G127" s="9" t="s">
        <v>445</v>
      </c>
    </row>
    <row r="128" customFormat="false" ht="23.85" hidden="false" customHeight="false" outlineLevel="0" collapsed="false">
      <c r="A128" s="9" t="s">
        <v>40</v>
      </c>
      <c r="B128" s="9" t="s">
        <v>327</v>
      </c>
      <c r="C128" s="9"/>
      <c r="D128" s="9" t="s">
        <v>206</v>
      </c>
      <c r="E128" s="9" t="s">
        <v>449</v>
      </c>
      <c r="F128" s="3" t="s">
        <v>653</v>
      </c>
      <c r="G128" s="9" t="s">
        <v>445</v>
      </c>
    </row>
    <row r="129" customFormat="false" ht="23.85" hidden="false" customHeight="false" outlineLevel="0" collapsed="false">
      <c r="A129" s="44" t="s">
        <v>446</v>
      </c>
      <c r="B129" s="44" t="s">
        <v>347</v>
      </c>
      <c r="C129" s="44"/>
      <c r="D129" s="44" t="s">
        <v>160</v>
      </c>
      <c r="E129" s="44" t="s">
        <v>472</v>
      </c>
      <c r="F129" s="45" t="s">
        <v>654</v>
      </c>
      <c r="G129" s="44" t="s">
        <v>468</v>
      </c>
    </row>
    <row r="130" customFormat="false" ht="35.05" hidden="false" customHeight="false" outlineLevel="0" collapsed="false">
      <c r="A130" s="9" t="s">
        <v>451</v>
      </c>
      <c r="B130" s="9" t="s">
        <v>277</v>
      </c>
      <c r="C130" s="9"/>
      <c r="D130" s="9" t="s">
        <v>202</v>
      </c>
      <c r="E130" s="9" t="s">
        <v>449</v>
      </c>
      <c r="F130" s="3" t="s">
        <v>655</v>
      </c>
      <c r="G130" s="9" t="s">
        <v>445</v>
      </c>
    </row>
    <row r="131" customFormat="false" ht="23.85" hidden="false" customHeight="false" outlineLevel="0" collapsed="false">
      <c r="A131" s="9" t="s">
        <v>41</v>
      </c>
      <c r="B131" s="9" t="s">
        <v>315</v>
      </c>
      <c r="C131" s="9"/>
      <c r="D131" s="9" t="s">
        <v>222</v>
      </c>
      <c r="E131" s="9" t="s">
        <v>449</v>
      </c>
      <c r="F131" s="3" t="s">
        <v>656</v>
      </c>
      <c r="G131" s="9" t="s">
        <v>445</v>
      </c>
    </row>
    <row r="132" customFormat="false" ht="35.05" hidden="false" customHeight="false" outlineLevel="0" collapsed="false">
      <c r="A132" s="44" t="s">
        <v>438</v>
      </c>
      <c r="B132" s="44" t="s">
        <v>343</v>
      </c>
      <c r="C132" s="44"/>
      <c r="D132" s="44" t="s">
        <v>192</v>
      </c>
      <c r="E132" s="44" t="s">
        <v>498</v>
      </c>
      <c r="F132" s="45" t="s">
        <v>657</v>
      </c>
      <c r="G132" s="44" t="s">
        <v>468</v>
      </c>
    </row>
    <row r="133" customFormat="false" ht="35.05" hidden="false" customHeight="false" outlineLevel="0" collapsed="false">
      <c r="A133" s="44" t="s">
        <v>39</v>
      </c>
      <c r="B133" s="44" t="s">
        <v>257</v>
      </c>
      <c r="C133" s="44"/>
      <c r="D133" s="44" t="s">
        <v>209</v>
      </c>
      <c r="E133" s="44" t="s">
        <v>472</v>
      </c>
      <c r="F133" s="45" t="s">
        <v>658</v>
      </c>
      <c r="G133" s="44" t="s">
        <v>468</v>
      </c>
    </row>
    <row r="134" customFormat="false" ht="46.25" hidden="false" customHeight="false" outlineLevel="0" collapsed="false">
      <c r="A134" s="9" t="s">
        <v>442</v>
      </c>
      <c r="B134" s="9" t="s">
        <v>522</v>
      </c>
      <c r="C134" s="9"/>
      <c r="D134" s="9" t="s">
        <v>523</v>
      </c>
      <c r="E134" s="9" t="s">
        <v>449</v>
      </c>
      <c r="F134" s="3" t="s">
        <v>659</v>
      </c>
      <c r="G134" s="9" t="s">
        <v>445</v>
      </c>
    </row>
    <row r="135" customFormat="false" ht="46.25" hidden="false" customHeight="false" outlineLevel="0" collapsed="false">
      <c r="A135" s="9" t="s">
        <v>41</v>
      </c>
      <c r="B135" s="9" t="s">
        <v>660</v>
      </c>
      <c r="C135" s="9"/>
      <c r="D135" s="9" t="s">
        <v>661</v>
      </c>
      <c r="E135" s="9" t="s">
        <v>619</v>
      </c>
      <c r="F135" s="3" t="s">
        <v>662</v>
      </c>
      <c r="G135" s="9" t="s">
        <v>445</v>
      </c>
    </row>
    <row r="136" customFormat="false" ht="46.25" hidden="false" customHeight="false" outlineLevel="0" collapsed="false">
      <c r="A136" s="9" t="s">
        <v>451</v>
      </c>
      <c r="B136" s="9" t="s">
        <v>254</v>
      </c>
      <c r="C136" s="9"/>
      <c r="D136" s="9" t="s">
        <v>181</v>
      </c>
      <c r="E136" s="9" t="s">
        <v>449</v>
      </c>
      <c r="F136" s="3" t="s">
        <v>663</v>
      </c>
      <c r="G136" s="9" t="s">
        <v>445</v>
      </c>
    </row>
    <row r="137" customFormat="false" ht="35.05" hidden="false" customHeight="false" outlineLevel="0" collapsed="false">
      <c r="A137" s="9" t="s">
        <v>442</v>
      </c>
      <c r="B137" s="9" t="s">
        <v>277</v>
      </c>
      <c r="C137" s="9"/>
      <c r="D137" s="9" t="s">
        <v>202</v>
      </c>
      <c r="E137" s="9" t="s">
        <v>449</v>
      </c>
      <c r="F137" s="3" t="s">
        <v>664</v>
      </c>
      <c r="G137" s="9" t="s">
        <v>445</v>
      </c>
    </row>
    <row r="138" customFormat="false" ht="35.05" hidden="false" customHeight="false" outlineLevel="0" collapsed="false">
      <c r="A138" s="9" t="s">
        <v>470</v>
      </c>
      <c r="B138" s="9" t="s">
        <v>531</v>
      </c>
      <c r="C138" s="9"/>
      <c r="D138" s="9" t="s">
        <v>532</v>
      </c>
      <c r="E138" s="9" t="s">
        <v>449</v>
      </c>
      <c r="F138" s="3" t="s">
        <v>665</v>
      </c>
      <c r="G138" s="9" t="s">
        <v>445</v>
      </c>
    </row>
    <row r="139" customFormat="false" ht="23.85" hidden="false" customHeight="false" outlineLevel="0" collapsed="false">
      <c r="A139" s="9" t="s">
        <v>39</v>
      </c>
      <c r="B139" s="9" t="s">
        <v>480</v>
      </c>
      <c r="C139" s="9"/>
      <c r="D139" s="9" t="s">
        <v>481</v>
      </c>
      <c r="E139" s="9" t="s">
        <v>449</v>
      </c>
      <c r="F139" s="3" t="s">
        <v>666</v>
      </c>
      <c r="G139" s="9" t="s">
        <v>445</v>
      </c>
    </row>
    <row r="140" customFormat="false" ht="35.05" hidden="false" customHeight="false" outlineLevel="0" collapsed="false">
      <c r="A140" s="9" t="s">
        <v>41</v>
      </c>
      <c r="B140" s="9" t="s">
        <v>500</v>
      </c>
      <c r="C140" s="9"/>
      <c r="D140" s="9" t="s">
        <v>501</v>
      </c>
      <c r="E140" s="9" t="s">
        <v>472</v>
      </c>
      <c r="F140" s="3" t="s">
        <v>667</v>
      </c>
      <c r="G140" s="9" t="s">
        <v>445</v>
      </c>
    </row>
    <row r="141" customFormat="false" ht="15" hidden="false" customHeight="false" outlineLevel="0" collapsed="false">
      <c r="A141" s="9" t="s">
        <v>40</v>
      </c>
      <c r="B141" s="9" t="s">
        <v>269</v>
      </c>
      <c r="C141" s="9"/>
      <c r="D141" s="9" t="s">
        <v>179</v>
      </c>
      <c r="E141" s="9" t="s">
        <v>449</v>
      </c>
      <c r="F141" s="3" t="s">
        <v>668</v>
      </c>
      <c r="G141" s="9" t="s">
        <v>445</v>
      </c>
    </row>
    <row r="142" customFormat="false" ht="46.25" hidden="false" customHeight="false" outlineLevel="0" collapsed="false">
      <c r="A142" s="9" t="s">
        <v>39</v>
      </c>
      <c r="B142" s="9" t="s">
        <v>281</v>
      </c>
      <c r="C142" s="9"/>
      <c r="D142" s="9" t="s">
        <v>174</v>
      </c>
      <c r="E142" s="9" t="s">
        <v>449</v>
      </c>
      <c r="F142" s="3" t="s">
        <v>669</v>
      </c>
      <c r="G142" s="9" t="s">
        <v>445</v>
      </c>
    </row>
    <row r="143" customFormat="false" ht="68.65" hidden="false" customHeight="false" outlineLevel="0" collapsed="false">
      <c r="A143" s="9" t="s">
        <v>39</v>
      </c>
      <c r="B143" s="9" t="s">
        <v>447</v>
      </c>
      <c r="C143" s="9"/>
      <c r="D143" s="9" t="s">
        <v>448</v>
      </c>
      <c r="E143" s="9" t="s">
        <v>449</v>
      </c>
      <c r="F143" s="3" t="s">
        <v>670</v>
      </c>
      <c r="G143" s="9" t="s">
        <v>445</v>
      </c>
    </row>
    <row r="144" customFormat="false" ht="113.4" hidden="false" customHeight="false" outlineLevel="0" collapsed="false">
      <c r="A144" s="9" t="s">
        <v>40</v>
      </c>
      <c r="B144" s="9" t="s">
        <v>570</v>
      </c>
      <c r="C144" s="9"/>
      <c r="D144" s="9" t="s">
        <v>571</v>
      </c>
      <c r="E144" s="9" t="s">
        <v>449</v>
      </c>
      <c r="F144" s="3" t="s">
        <v>671</v>
      </c>
      <c r="G144" s="9" t="s">
        <v>445</v>
      </c>
    </row>
    <row r="145" customFormat="false" ht="79.85" hidden="false" customHeight="false" outlineLevel="0" collapsed="false">
      <c r="A145" s="9" t="s">
        <v>41</v>
      </c>
      <c r="B145" s="9" t="s">
        <v>505</v>
      </c>
      <c r="C145" s="9"/>
      <c r="D145" s="9" t="s">
        <v>506</v>
      </c>
      <c r="E145" s="9" t="s">
        <v>449</v>
      </c>
      <c r="F145" s="3" t="s">
        <v>672</v>
      </c>
      <c r="G145" s="9" t="s">
        <v>445</v>
      </c>
    </row>
    <row r="146" customFormat="false" ht="35.05" hidden="false" customHeight="false" outlineLevel="0" collapsed="false">
      <c r="A146" s="9" t="s">
        <v>442</v>
      </c>
      <c r="B146" s="9" t="s">
        <v>300</v>
      </c>
      <c r="C146" s="9"/>
      <c r="D146" s="9" t="s">
        <v>161</v>
      </c>
      <c r="E146" s="9" t="s">
        <v>449</v>
      </c>
      <c r="F146" s="3" t="s">
        <v>673</v>
      </c>
      <c r="G146" s="9" t="s">
        <v>445</v>
      </c>
    </row>
    <row r="147" customFormat="false" ht="23.85" hidden="false" customHeight="false" outlineLevel="0" collapsed="false">
      <c r="A147" s="9" t="s">
        <v>41</v>
      </c>
      <c r="B147" s="9" t="s">
        <v>555</v>
      </c>
      <c r="C147" s="9"/>
      <c r="D147" s="9" t="s">
        <v>556</v>
      </c>
      <c r="E147" s="9" t="s">
        <v>674</v>
      </c>
      <c r="F147" s="3" t="s">
        <v>675</v>
      </c>
      <c r="G147" s="9" t="s">
        <v>445</v>
      </c>
    </row>
    <row r="148" customFormat="false" ht="23.85" hidden="false" customHeight="false" outlineLevel="0" collapsed="false">
      <c r="A148" s="9" t="s">
        <v>442</v>
      </c>
      <c r="B148" s="9" t="s">
        <v>271</v>
      </c>
      <c r="C148" s="9"/>
      <c r="D148" s="9" t="s">
        <v>199</v>
      </c>
      <c r="E148" s="9" t="s">
        <v>449</v>
      </c>
      <c r="F148" s="3" t="s">
        <v>676</v>
      </c>
      <c r="G148" s="9" t="s">
        <v>445</v>
      </c>
    </row>
    <row r="149" customFormat="false" ht="15" hidden="false" customHeight="false" outlineLevel="0" collapsed="false">
      <c r="A149" s="9" t="s">
        <v>470</v>
      </c>
      <c r="B149" s="9" t="s">
        <v>677</v>
      </c>
      <c r="C149" s="9"/>
      <c r="D149" s="9" t="s">
        <v>678</v>
      </c>
      <c r="E149" s="9" t="s">
        <v>449</v>
      </c>
      <c r="F149" s="3" t="s">
        <v>679</v>
      </c>
      <c r="G149" s="9" t="s">
        <v>445</v>
      </c>
    </row>
    <row r="150" customFormat="false" ht="79.85" hidden="false" customHeight="false" outlineLevel="0" collapsed="false">
      <c r="A150" s="9" t="s">
        <v>40</v>
      </c>
      <c r="B150" s="9" t="s">
        <v>505</v>
      </c>
      <c r="C150" s="9"/>
      <c r="D150" s="9" t="s">
        <v>506</v>
      </c>
      <c r="E150" s="9" t="s">
        <v>449</v>
      </c>
      <c r="F150" s="3" t="s">
        <v>680</v>
      </c>
      <c r="G150" s="9" t="s">
        <v>445</v>
      </c>
    </row>
    <row r="151" customFormat="false" ht="15" hidden="false" customHeight="false" outlineLevel="0" collapsed="false">
      <c r="A151" s="44" t="s">
        <v>451</v>
      </c>
      <c r="B151" s="44" t="s">
        <v>285</v>
      </c>
      <c r="C151" s="44"/>
      <c r="D151" s="44" t="s">
        <v>186</v>
      </c>
      <c r="E151" s="44" t="s">
        <v>466</v>
      </c>
      <c r="F151" s="45" t="s">
        <v>681</v>
      </c>
      <c r="G151" s="44" t="s">
        <v>468</v>
      </c>
    </row>
    <row r="152" customFormat="false" ht="35.05" hidden="false" customHeight="false" outlineLevel="0" collapsed="false">
      <c r="A152" s="44" t="s">
        <v>40</v>
      </c>
      <c r="B152" s="44" t="s">
        <v>286</v>
      </c>
      <c r="C152" s="44"/>
      <c r="D152" s="44" t="s">
        <v>194</v>
      </c>
      <c r="E152" s="44" t="s">
        <v>472</v>
      </c>
      <c r="F152" s="45" t="s">
        <v>682</v>
      </c>
      <c r="G152" s="44" t="s">
        <v>468</v>
      </c>
    </row>
    <row r="153" customFormat="false" ht="23.85" hidden="false" customHeight="false" outlineLevel="0" collapsed="false">
      <c r="A153" s="9" t="s">
        <v>442</v>
      </c>
      <c r="B153" s="9" t="s">
        <v>500</v>
      </c>
      <c r="C153" s="9"/>
      <c r="D153" s="9" t="s">
        <v>501</v>
      </c>
      <c r="E153" s="9" t="s">
        <v>449</v>
      </c>
      <c r="F153" s="3" t="s">
        <v>683</v>
      </c>
      <c r="G153" s="9" t="s">
        <v>445</v>
      </c>
    </row>
    <row r="154" customFormat="false" ht="46.25" hidden="false" customHeight="false" outlineLevel="0" collapsed="false">
      <c r="A154" s="9" t="s">
        <v>40</v>
      </c>
      <c r="B154" s="9" t="s">
        <v>596</v>
      </c>
      <c r="C154" s="9"/>
      <c r="D154" s="9" t="s">
        <v>597</v>
      </c>
      <c r="E154" s="9" t="s">
        <v>472</v>
      </c>
      <c r="F154" s="3" t="s">
        <v>684</v>
      </c>
      <c r="G154" s="9" t="s">
        <v>445</v>
      </c>
    </row>
    <row r="155" customFormat="false" ht="91" hidden="false" customHeight="false" outlineLevel="0" collapsed="false">
      <c r="A155" s="9" t="s">
        <v>41</v>
      </c>
      <c r="B155" s="9" t="s">
        <v>685</v>
      </c>
      <c r="C155" s="9"/>
      <c r="D155" s="9" t="s">
        <v>686</v>
      </c>
      <c r="E155" s="9" t="s">
        <v>449</v>
      </c>
      <c r="F155" s="3" t="s">
        <v>687</v>
      </c>
      <c r="G155" s="9" t="s">
        <v>445</v>
      </c>
    </row>
    <row r="156" customFormat="false" ht="35.05" hidden="false" customHeight="false" outlineLevel="0" collapsed="false">
      <c r="A156" s="9" t="s">
        <v>41</v>
      </c>
      <c r="B156" s="9" t="s">
        <v>279</v>
      </c>
      <c r="C156" s="9"/>
      <c r="D156" s="9" t="s">
        <v>190</v>
      </c>
      <c r="E156" s="9" t="s">
        <v>449</v>
      </c>
      <c r="F156" s="3" t="s">
        <v>688</v>
      </c>
      <c r="G156" s="9" t="s">
        <v>445</v>
      </c>
    </row>
    <row r="157" customFormat="false" ht="23.85" hidden="false" customHeight="false" outlineLevel="0" collapsed="false">
      <c r="A157" s="9" t="s">
        <v>442</v>
      </c>
      <c r="B157" s="9" t="s">
        <v>281</v>
      </c>
      <c r="C157" s="9"/>
      <c r="D157" s="9" t="s">
        <v>174</v>
      </c>
      <c r="E157" s="9" t="s">
        <v>449</v>
      </c>
      <c r="F157" s="3" t="s">
        <v>689</v>
      </c>
      <c r="G157" s="9" t="s">
        <v>445</v>
      </c>
    </row>
    <row r="158" customFormat="false" ht="91" hidden="false" customHeight="false" outlineLevel="0" collapsed="false">
      <c r="A158" s="9" t="s">
        <v>442</v>
      </c>
      <c r="B158" s="9" t="s">
        <v>288</v>
      </c>
      <c r="C158" s="9"/>
      <c r="D158" s="9" t="s">
        <v>212</v>
      </c>
      <c r="E158" s="9" t="s">
        <v>449</v>
      </c>
      <c r="F158" s="3" t="s">
        <v>690</v>
      </c>
      <c r="G158" s="9" t="s">
        <v>445</v>
      </c>
    </row>
    <row r="159" customFormat="false" ht="35.05" hidden="false" customHeight="false" outlineLevel="0" collapsed="false">
      <c r="A159" s="9" t="s">
        <v>438</v>
      </c>
      <c r="B159" s="9" t="s">
        <v>691</v>
      </c>
      <c r="C159" s="9"/>
      <c r="D159" s="9" t="s">
        <v>692</v>
      </c>
      <c r="E159" s="9" t="s">
        <v>472</v>
      </c>
      <c r="F159" s="3" t="s">
        <v>693</v>
      </c>
      <c r="G159" s="9" t="s">
        <v>445</v>
      </c>
    </row>
    <row r="160" customFormat="false" ht="15" hidden="false" customHeight="false" outlineLevel="0" collapsed="false">
      <c r="A160" s="9" t="s">
        <v>553</v>
      </c>
      <c r="B160" s="9" t="s">
        <v>694</v>
      </c>
      <c r="C160" s="9"/>
      <c r="D160" s="9" t="s">
        <v>695</v>
      </c>
      <c r="E160" s="9" t="s">
        <v>449</v>
      </c>
      <c r="F160" s="3" t="s">
        <v>696</v>
      </c>
      <c r="G160" s="9" t="s">
        <v>445</v>
      </c>
    </row>
    <row r="161" customFormat="false" ht="35.05" hidden="false" customHeight="false" outlineLevel="0" collapsed="false">
      <c r="A161" s="9" t="s">
        <v>451</v>
      </c>
      <c r="B161" s="9" t="s">
        <v>527</v>
      </c>
      <c r="C161" s="9"/>
      <c r="D161" s="9" t="s">
        <v>528</v>
      </c>
      <c r="E161" s="9" t="s">
        <v>449</v>
      </c>
      <c r="F161" s="3" t="s">
        <v>697</v>
      </c>
      <c r="G161" s="9" t="s">
        <v>445</v>
      </c>
    </row>
    <row r="162" customFormat="false" ht="68.65" hidden="false" customHeight="false" outlineLevel="0" collapsed="false">
      <c r="A162" s="9" t="s">
        <v>40</v>
      </c>
      <c r="B162" s="9" t="s">
        <v>290</v>
      </c>
      <c r="C162" s="9"/>
      <c r="D162" s="9" t="s">
        <v>189</v>
      </c>
      <c r="E162" s="9" t="s">
        <v>449</v>
      </c>
      <c r="F162" s="3" t="s">
        <v>698</v>
      </c>
      <c r="G162" s="9" t="s">
        <v>445</v>
      </c>
    </row>
    <row r="163" customFormat="false" ht="23.85" hidden="false" customHeight="false" outlineLevel="0" collapsed="false">
      <c r="A163" s="44" t="s">
        <v>41</v>
      </c>
      <c r="B163" s="44" t="s">
        <v>286</v>
      </c>
      <c r="C163" s="44"/>
      <c r="D163" s="44" t="s">
        <v>194</v>
      </c>
      <c r="E163" s="44" t="s">
        <v>472</v>
      </c>
      <c r="F163" s="45" t="s">
        <v>699</v>
      </c>
      <c r="G163" s="44" t="s">
        <v>468</v>
      </c>
    </row>
    <row r="164" customFormat="false" ht="15" hidden="false" customHeight="false" outlineLevel="0" collapsed="false">
      <c r="A164" s="9" t="s">
        <v>453</v>
      </c>
      <c r="B164" s="9" t="s">
        <v>700</v>
      </c>
      <c r="C164" s="9"/>
      <c r="D164" s="9" t="s">
        <v>701</v>
      </c>
      <c r="E164" s="9" t="s">
        <v>466</v>
      </c>
      <c r="F164" s="3" t="s">
        <v>702</v>
      </c>
      <c r="G164" s="9" t="s">
        <v>445</v>
      </c>
    </row>
    <row r="165" customFormat="false" ht="91" hidden="false" customHeight="false" outlineLevel="0" collapsed="false">
      <c r="A165" s="44" t="s">
        <v>39</v>
      </c>
      <c r="B165" s="44" t="s">
        <v>346</v>
      </c>
      <c r="C165" s="44"/>
      <c r="D165" s="44" t="s">
        <v>164</v>
      </c>
      <c r="E165" s="44" t="s">
        <v>466</v>
      </c>
      <c r="F165" s="45" t="s">
        <v>703</v>
      </c>
      <c r="G165" s="44" t="s">
        <v>468</v>
      </c>
    </row>
    <row r="166" customFormat="false" ht="46.25" hidden="false" customHeight="false" outlineLevel="0" collapsed="false">
      <c r="A166" s="9" t="s">
        <v>40</v>
      </c>
      <c r="B166" s="9" t="s">
        <v>660</v>
      </c>
      <c r="C166" s="9"/>
      <c r="D166" s="9" t="s">
        <v>661</v>
      </c>
      <c r="E166" s="9" t="s">
        <v>619</v>
      </c>
      <c r="F166" s="3" t="s">
        <v>704</v>
      </c>
      <c r="G166" s="9" t="s">
        <v>445</v>
      </c>
    </row>
    <row r="167" customFormat="false" ht="35.05" hidden="false" customHeight="false" outlineLevel="0" collapsed="false">
      <c r="A167" s="9" t="s">
        <v>41</v>
      </c>
      <c r="B167" s="9" t="s">
        <v>570</v>
      </c>
      <c r="C167" s="9"/>
      <c r="D167" s="9" t="s">
        <v>571</v>
      </c>
      <c r="E167" s="9" t="s">
        <v>472</v>
      </c>
      <c r="F167" s="3" t="s">
        <v>705</v>
      </c>
      <c r="G167" s="9" t="s">
        <v>445</v>
      </c>
    </row>
    <row r="168" customFormat="false" ht="68.65" hidden="false" customHeight="false" outlineLevel="0" collapsed="false">
      <c r="A168" s="9" t="s">
        <v>442</v>
      </c>
      <c r="B168" s="9" t="s">
        <v>251</v>
      </c>
      <c r="C168" s="9"/>
      <c r="D168" s="9" t="s">
        <v>184</v>
      </c>
      <c r="E168" s="9" t="s">
        <v>449</v>
      </c>
      <c r="F168" s="3" t="s">
        <v>706</v>
      </c>
      <c r="G168" s="9" t="s">
        <v>445</v>
      </c>
    </row>
    <row r="169" customFormat="false" ht="23.85" hidden="false" customHeight="false" outlineLevel="0" collapsed="false">
      <c r="A169" s="9" t="s">
        <v>470</v>
      </c>
      <c r="B169" s="9" t="s">
        <v>252</v>
      </c>
      <c r="C169" s="9"/>
      <c r="D169" s="9" t="s">
        <v>187</v>
      </c>
      <c r="E169" s="9" t="s">
        <v>449</v>
      </c>
      <c r="F169" s="3" t="s">
        <v>707</v>
      </c>
      <c r="G169" s="9" t="s">
        <v>445</v>
      </c>
    </row>
    <row r="170" customFormat="false" ht="35.05" hidden="false" customHeight="false" outlineLevel="0" collapsed="false">
      <c r="A170" s="44" t="s">
        <v>41</v>
      </c>
      <c r="B170" s="44" t="s">
        <v>315</v>
      </c>
      <c r="C170" s="44"/>
      <c r="D170" s="44" t="s">
        <v>222</v>
      </c>
      <c r="E170" s="44" t="s">
        <v>472</v>
      </c>
      <c r="F170" s="45" t="s">
        <v>708</v>
      </c>
      <c r="G170" s="44" t="s">
        <v>468</v>
      </c>
    </row>
    <row r="171" customFormat="false" ht="46.25" hidden="false" customHeight="false" outlineLevel="0" collapsed="false">
      <c r="A171" s="44" t="s">
        <v>40</v>
      </c>
      <c r="B171" s="44" t="s">
        <v>264</v>
      </c>
      <c r="C171" s="44"/>
      <c r="D171" s="44" t="s">
        <v>203</v>
      </c>
      <c r="E171" s="44" t="s">
        <v>472</v>
      </c>
      <c r="F171" s="45" t="s">
        <v>709</v>
      </c>
      <c r="G171" s="44" t="s">
        <v>468</v>
      </c>
    </row>
    <row r="172" customFormat="false" ht="35.05" hidden="false" customHeight="false" outlineLevel="0" collapsed="false">
      <c r="A172" s="9" t="s">
        <v>470</v>
      </c>
      <c r="B172" s="9" t="s">
        <v>294</v>
      </c>
      <c r="C172" s="9"/>
      <c r="D172" s="9" t="s">
        <v>196</v>
      </c>
      <c r="E172" s="9" t="s">
        <v>449</v>
      </c>
      <c r="F172" s="3" t="s">
        <v>710</v>
      </c>
      <c r="G172" s="9" t="s">
        <v>445</v>
      </c>
    </row>
    <row r="173" customFormat="false" ht="23.85" hidden="false" customHeight="false" outlineLevel="0" collapsed="false">
      <c r="A173" s="9" t="s">
        <v>470</v>
      </c>
      <c r="B173" s="9" t="s">
        <v>711</v>
      </c>
      <c r="C173" s="9"/>
      <c r="D173" s="9" t="s">
        <v>712</v>
      </c>
      <c r="E173" s="9" t="s">
        <v>449</v>
      </c>
      <c r="F173" s="3" t="s">
        <v>713</v>
      </c>
      <c r="G173" s="9" t="s">
        <v>445</v>
      </c>
    </row>
    <row r="174" customFormat="false" ht="46.25" hidden="false" customHeight="false" outlineLevel="0" collapsed="false">
      <c r="A174" s="9" t="s">
        <v>442</v>
      </c>
      <c r="B174" s="9" t="s">
        <v>623</v>
      </c>
      <c r="C174" s="9"/>
      <c r="D174" s="9" t="s">
        <v>624</v>
      </c>
      <c r="E174" s="9" t="s">
        <v>449</v>
      </c>
      <c r="F174" s="3" t="s">
        <v>714</v>
      </c>
      <c r="G174" s="9" t="s">
        <v>445</v>
      </c>
    </row>
    <row r="175" customFormat="false" ht="15" hidden="false" customHeight="false" outlineLevel="0" collapsed="false">
      <c r="A175" s="44" t="s">
        <v>451</v>
      </c>
      <c r="B175" s="44" t="s">
        <v>260</v>
      </c>
      <c r="C175" s="44"/>
      <c r="D175" s="44" t="s">
        <v>158</v>
      </c>
      <c r="E175" s="44" t="s">
        <v>439</v>
      </c>
      <c r="F175" s="45" t="s">
        <v>715</v>
      </c>
      <c r="G175" s="44" t="s">
        <v>468</v>
      </c>
    </row>
    <row r="176" customFormat="false" ht="23.85" hidden="false" customHeight="false" outlineLevel="0" collapsed="false">
      <c r="A176" s="9" t="s">
        <v>716</v>
      </c>
      <c r="B176" s="9" t="s">
        <v>711</v>
      </c>
      <c r="C176" s="9"/>
      <c r="D176" s="9" t="s">
        <v>712</v>
      </c>
      <c r="E176" s="9" t="s">
        <v>449</v>
      </c>
      <c r="F176" s="3" t="s">
        <v>717</v>
      </c>
      <c r="G176" s="9" t="s">
        <v>445</v>
      </c>
    </row>
    <row r="177" customFormat="false" ht="35.05" hidden="false" customHeight="false" outlineLevel="0" collapsed="false">
      <c r="A177" s="9" t="s">
        <v>40</v>
      </c>
      <c r="B177" s="9" t="s">
        <v>596</v>
      </c>
      <c r="C177" s="9"/>
      <c r="D177" s="9" t="s">
        <v>597</v>
      </c>
      <c r="E177" s="9" t="s">
        <v>449</v>
      </c>
      <c r="F177" s="3" t="s">
        <v>718</v>
      </c>
      <c r="G177" s="9" t="s">
        <v>445</v>
      </c>
    </row>
    <row r="178" customFormat="false" ht="23.85" hidden="false" customHeight="false" outlineLevel="0" collapsed="false">
      <c r="A178" s="44" t="s">
        <v>40</v>
      </c>
      <c r="B178" s="44" t="s">
        <v>342</v>
      </c>
      <c r="C178" s="44"/>
      <c r="D178" s="44" t="s">
        <v>182</v>
      </c>
      <c r="E178" s="44" t="s">
        <v>472</v>
      </c>
      <c r="F178" s="45" t="s">
        <v>719</v>
      </c>
      <c r="G178" s="44" t="s">
        <v>468</v>
      </c>
    </row>
    <row r="179" customFormat="false" ht="46.25" hidden="false" customHeight="false" outlineLevel="0" collapsed="false">
      <c r="A179" s="9" t="s">
        <v>40</v>
      </c>
      <c r="B179" s="9" t="s">
        <v>447</v>
      </c>
      <c r="C179" s="9"/>
      <c r="D179" s="9" t="s">
        <v>448</v>
      </c>
      <c r="E179" s="9" t="s">
        <v>449</v>
      </c>
      <c r="F179" s="3" t="s">
        <v>720</v>
      </c>
      <c r="G179" s="9" t="s">
        <v>445</v>
      </c>
    </row>
    <row r="180" customFormat="false" ht="23.85" hidden="false" customHeight="false" outlineLevel="0" collapsed="false">
      <c r="A180" s="9" t="s">
        <v>446</v>
      </c>
      <c r="B180" s="9" t="s">
        <v>721</v>
      </c>
      <c r="C180" s="9"/>
      <c r="D180" s="9" t="s">
        <v>722</v>
      </c>
      <c r="E180" s="9" t="s">
        <v>449</v>
      </c>
      <c r="F180" s="3" t="s">
        <v>723</v>
      </c>
      <c r="G180" s="9" t="s">
        <v>445</v>
      </c>
    </row>
    <row r="181" customFormat="false" ht="23.85" hidden="false" customHeight="false" outlineLevel="0" collapsed="false">
      <c r="A181" s="9" t="s">
        <v>40</v>
      </c>
      <c r="B181" s="9" t="s">
        <v>570</v>
      </c>
      <c r="C181" s="9"/>
      <c r="D181" s="9" t="s">
        <v>571</v>
      </c>
      <c r="E181" s="9" t="s">
        <v>472</v>
      </c>
      <c r="F181" s="3" t="s">
        <v>724</v>
      </c>
      <c r="G181" s="9" t="s">
        <v>445</v>
      </c>
    </row>
    <row r="182" customFormat="false" ht="23.85" hidden="false" customHeight="false" outlineLevel="0" collapsed="false">
      <c r="A182" s="44" t="s">
        <v>39</v>
      </c>
      <c r="B182" s="44" t="s">
        <v>283</v>
      </c>
      <c r="C182" s="44"/>
      <c r="D182" s="44" t="s">
        <v>221</v>
      </c>
      <c r="E182" s="44" t="s">
        <v>472</v>
      </c>
      <c r="F182" s="45" t="s">
        <v>725</v>
      </c>
      <c r="G182" s="44" t="s">
        <v>468</v>
      </c>
    </row>
    <row r="183" customFormat="false" ht="15" hidden="false" customHeight="false" outlineLevel="0" collapsed="false">
      <c r="A183" s="44" t="s">
        <v>40</v>
      </c>
      <c r="B183" s="44" t="s">
        <v>345</v>
      </c>
      <c r="C183" s="44"/>
      <c r="D183" s="44" t="s">
        <v>177</v>
      </c>
      <c r="E183" s="44" t="s">
        <v>466</v>
      </c>
      <c r="F183" s="45" t="s">
        <v>726</v>
      </c>
      <c r="G183" s="44" t="s">
        <v>468</v>
      </c>
    </row>
    <row r="184" customFormat="false" ht="57.45" hidden="false" customHeight="false" outlineLevel="0" collapsed="false">
      <c r="A184" s="9" t="s">
        <v>40</v>
      </c>
      <c r="B184" s="9" t="s">
        <v>477</v>
      </c>
      <c r="C184" s="9"/>
      <c r="D184" s="9" t="s">
        <v>478</v>
      </c>
      <c r="E184" s="9" t="s">
        <v>449</v>
      </c>
      <c r="F184" s="3" t="s">
        <v>727</v>
      </c>
      <c r="G184" s="9" t="s">
        <v>445</v>
      </c>
    </row>
    <row r="185" customFormat="false" ht="35.05" hidden="false" customHeight="false" outlineLevel="0" collapsed="false">
      <c r="A185" s="9" t="s">
        <v>40</v>
      </c>
      <c r="B185" s="9" t="s">
        <v>303</v>
      </c>
      <c r="C185" s="9"/>
      <c r="D185" s="9" t="s">
        <v>193</v>
      </c>
      <c r="E185" s="9" t="s">
        <v>449</v>
      </c>
      <c r="F185" s="3" t="s">
        <v>728</v>
      </c>
      <c r="G185" s="9" t="s">
        <v>445</v>
      </c>
    </row>
    <row r="186" customFormat="false" ht="23.85" hidden="false" customHeight="false" outlineLevel="0" collapsed="false">
      <c r="A186" s="9" t="s">
        <v>41</v>
      </c>
      <c r="B186" s="9" t="s">
        <v>281</v>
      </c>
      <c r="C186" s="9"/>
      <c r="D186" s="9" t="s">
        <v>174</v>
      </c>
      <c r="E186" s="9" t="s">
        <v>449</v>
      </c>
      <c r="F186" s="3" t="s">
        <v>729</v>
      </c>
      <c r="G186" s="9" t="s">
        <v>445</v>
      </c>
    </row>
    <row r="187" customFormat="false" ht="79.85" hidden="false" customHeight="false" outlineLevel="0" collapsed="false">
      <c r="A187" s="9" t="s">
        <v>40</v>
      </c>
      <c r="B187" s="9" t="s">
        <v>685</v>
      </c>
      <c r="C187" s="9"/>
      <c r="D187" s="9" t="s">
        <v>686</v>
      </c>
      <c r="E187" s="9" t="s">
        <v>449</v>
      </c>
      <c r="F187" s="3" t="s">
        <v>730</v>
      </c>
      <c r="G187" s="9" t="s">
        <v>445</v>
      </c>
    </row>
    <row r="188" customFormat="false" ht="35.05" hidden="false" customHeight="false" outlineLevel="0" collapsed="false">
      <c r="A188" s="9" t="s">
        <v>41</v>
      </c>
      <c r="B188" s="9" t="s">
        <v>477</v>
      </c>
      <c r="C188" s="9"/>
      <c r="D188" s="9" t="s">
        <v>478</v>
      </c>
      <c r="E188" s="9" t="s">
        <v>472</v>
      </c>
      <c r="F188" s="3" t="s">
        <v>731</v>
      </c>
      <c r="G188" s="9" t="s">
        <v>445</v>
      </c>
    </row>
    <row r="189" customFormat="false" ht="57.45" hidden="false" customHeight="false" outlineLevel="0" collapsed="false">
      <c r="A189" s="44" t="s">
        <v>41</v>
      </c>
      <c r="B189" s="44" t="s">
        <v>343</v>
      </c>
      <c r="C189" s="44"/>
      <c r="D189" s="44" t="s">
        <v>192</v>
      </c>
      <c r="E189" s="44" t="s">
        <v>472</v>
      </c>
      <c r="F189" s="45" t="s">
        <v>732</v>
      </c>
      <c r="G189" s="44" t="s">
        <v>468</v>
      </c>
    </row>
    <row r="190" customFormat="false" ht="15" hidden="false" customHeight="false" outlineLevel="0" collapsed="false">
      <c r="A190" s="9" t="s">
        <v>438</v>
      </c>
      <c r="B190" s="9" t="s">
        <v>623</v>
      </c>
      <c r="C190" s="9"/>
      <c r="D190" s="9" t="s">
        <v>624</v>
      </c>
      <c r="E190" s="9" t="s">
        <v>449</v>
      </c>
      <c r="F190" s="3" t="s">
        <v>733</v>
      </c>
      <c r="G190" s="9" t="s">
        <v>445</v>
      </c>
    </row>
    <row r="191" customFormat="false" ht="57.45" hidden="false" customHeight="false" outlineLevel="0" collapsed="false">
      <c r="A191" s="9" t="s">
        <v>40</v>
      </c>
      <c r="B191" s="9" t="s">
        <v>457</v>
      </c>
      <c r="C191" s="9"/>
      <c r="D191" s="9" t="s">
        <v>458</v>
      </c>
      <c r="E191" s="9" t="s">
        <v>449</v>
      </c>
      <c r="F191" s="3" t="s">
        <v>734</v>
      </c>
      <c r="G191" s="9" t="s">
        <v>445</v>
      </c>
    </row>
    <row r="192" customFormat="false" ht="68.65" hidden="false" customHeight="false" outlineLevel="0" collapsed="false">
      <c r="A192" s="9" t="s">
        <v>39</v>
      </c>
      <c r="B192" s="9" t="s">
        <v>254</v>
      </c>
      <c r="C192" s="9"/>
      <c r="D192" s="9" t="s">
        <v>181</v>
      </c>
      <c r="E192" s="9" t="s">
        <v>449</v>
      </c>
      <c r="F192" s="3" t="s">
        <v>735</v>
      </c>
      <c r="G192" s="9" t="s">
        <v>445</v>
      </c>
    </row>
    <row r="193" customFormat="false" ht="57.45" hidden="false" customHeight="false" outlineLevel="0" collapsed="false">
      <c r="A193" s="9" t="s">
        <v>41</v>
      </c>
      <c r="B193" s="9" t="s">
        <v>457</v>
      </c>
      <c r="C193" s="9"/>
      <c r="D193" s="9" t="s">
        <v>458</v>
      </c>
      <c r="E193" s="9" t="s">
        <v>449</v>
      </c>
      <c r="F193" s="3" t="s">
        <v>736</v>
      </c>
      <c r="G193" s="9" t="s">
        <v>445</v>
      </c>
    </row>
    <row r="194" customFormat="false" ht="68.65" hidden="false" customHeight="false" outlineLevel="0" collapsed="false">
      <c r="A194" s="9" t="s">
        <v>737</v>
      </c>
      <c r="B194" s="9" t="s">
        <v>606</v>
      </c>
      <c r="C194" s="9"/>
      <c r="D194" s="9" t="s">
        <v>607</v>
      </c>
      <c r="E194" s="9" t="s">
        <v>449</v>
      </c>
      <c r="F194" s="3" t="s">
        <v>738</v>
      </c>
      <c r="G194" s="9" t="s">
        <v>445</v>
      </c>
    </row>
    <row r="195" customFormat="false" ht="35.05" hidden="false" customHeight="false" outlineLevel="0" collapsed="false">
      <c r="A195" s="9" t="s">
        <v>462</v>
      </c>
      <c r="B195" s="9" t="s">
        <v>566</v>
      </c>
      <c r="C195" s="9"/>
      <c r="D195" s="9" t="s">
        <v>567</v>
      </c>
      <c r="E195" s="9" t="s">
        <v>449</v>
      </c>
      <c r="F195" s="3" t="s">
        <v>739</v>
      </c>
      <c r="G195" s="9" t="s">
        <v>445</v>
      </c>
    </row>
    <row r="196" customFormat="false" ht="91" hidden="false" customHeight="false" outlineLevel="0" collapsed="false">
      <c r="A196" s="9" t="s">
        <v>39</v>
      </c>
      <c r="B196" s="9" t="s">
        <v>457</v>
      </c>
      <c r="C196" s="9"/>
      <c r="D196" s="9" t="s">
        <v>458</v>
      </c>
      <c r="E196" s="9" t="s">
        <v>449</v>
      </c>
      <c r="F196" s="3" t="s">
        <v>740</v>
      </c>
      <c r="G196" s="9" t="s">
        <v>445</v>
      </c>
    </row>
    <row r="197" customFormat="false" ht="57.45" hidden="false" customHeight="false" outlineLevel="0" collapsed="false">
      <c r="A197" s="9" t="s">
        <v>446</v>
      </c>
      <c r="B197" s="9" t="s">
        <v>558</v>
      </c>
      <c r="C197" s="9"/>
      <c r="D197" s="9" t="s">
        <v>559</v>
      </c>
      <c r="E197" s="9" t="s">
        <v>472</v>
      </c>
      <c r="F197" s="3" t="s">
        <v>741</v>
      </c>
      <c r="G197" s="9" t="s">
        <v>445</v>
      </c>
    </row>
    <row r="198" customFormat="false" ht="46.25" hidden="false" customHeight="false" outlineLevel="0" collapsed="false">
      <c r="A198" s="9" t="s">
        <v>451</v>
      </c>
      <c r="B198" s="9" t="s">
        <v>500</v>
      </c>
      <c r="C198" s="9"/>
      <c r="D198" s="9" t="s">
        <v>501</v>
      </c>
      <c r="E198" s="9" t="s">
        <v>449</v>
      </c>
      <c r="F198" s="3" t="s">
        <v>742</v>
      </c>
      <c r="G198" s="9" t="s">
        <v>445</v>
      </c>
    </row>
    <row r="199" customFormat="false" ht="23.85" hidden="false" customHeight="false" outlineLevel="0" collapsed="false">
      <c r="A199" s="9" t="s">
        <v>442</v>
      </c>
      <c r="B199" s="9" t="s">
        <v>290</v>
      </c>
      <c r="C199" s="9"/>
      <c r="D199" s="9" t="s">
        <v>189</v>
      </c>
      <c r="E199" s="9" t="s">
        <v>449</v>
      </c>
      <c r="F199" s="3" t="s">
        <v>743</v>
      </c>
      <c r="G199" s="9" t="s">
        <v>445</v>
      </c>
    </row>
    <row r="200" customFormat="false" ht="23.85" hidden="false" customHeight="false" outlineLevel="0" collapsed="false">
      <c r="A200" s="9" t="s">
        <v>442</v>
      </c>
      <c r="B200" s="9" t="s">
        <v>315</v>
      </c>
      <c r="C200" s="9"/>
      <c r="D200" s="9" t="s">
        <v>222</v>
      </c>
      <c r="E200" s="9" t="s">
        <v>449</v>
      </c>
      <c r="F200" s="3" t="s">
        <v>744</v>
      </c>
      <c r="G200" s="9" t="s">
        <v>445</v>
      </c>
    </row>
    <row r="201" customFormat="false" ht="23.85" hidden="false" customHeight="false" outlineLevel="0" collapsed="false">
      <c r="A201" s="44" t="s">
        <v>39</v>
      </c>
      <c r="B201" s="44" t="s">
        <v>294</v>
      </c>
      <c r="C201" s="44"/>
      <c r="D201" s="44" t="s">
        <v>196</v>
      </c>
      <c r="E201" s="44" t="s">
        <v>472</v>
      </c>
      <c r="F201" s="45" t="s">
        <v>745</v>
      </c>
      <c r="G201" s="44" t="s">
        <v>468</v>
      </c>
    </row>
    <row r="202" customFormat="false" ht="23.85" hidden="false" customHeight="false" outlineLevel="0" collapsed="false">
      <c r="A202" s="9" t="s">
        <v>446</v>
      </c>
      <c r="B202" s="9" t="s">
        <v>746</v>
      </c>
      <c r="C202" s="9"/>
      <c r="D202" s="9" t="s">
        <v>747</v>
      </c>
      <c r="E202" s="9" t="s">
        <v>472</v>
      </c>
      <c r="F202" s="3" t="s">
        <v>748</v>
      </c>
      <c r="G202" s="9" t="s">
        <v>445</v>
      </c>
    </row>
    <row r="203" customFormat="false" ht="23.85" hidden="false" customHeight="false" outlineLevel="0" collapsed="false">
      <c r="A203" s="44" t="s">
        <v>39</v>
      </c>
      <c r="B203" s="44" t="s">
        <v>300</v>
      </c>
      <c r="C203" s="44"/>
      <c r="D203" s="44" t="s">
        <v>161</v>
      </c>
      <c r="E203" s="44" t="s">
        <v>472</v>
      </c>
      <c r="F203" s="45" t="s">
        <v>749</v>
      </c>
      <c r="G203" s="44" t="s">
        <v>468</v>
      </c>
    </row>
    <row r="204" customFormat="false" ht="23.85" hidden="false" customHeight="false" outlineLevel="0" collapsed="false">
      <c r="A204" s="9" t="s">
        <v>446</v>
      </c>
      <c r="B204" s="9" t="s">
        <v>500</v>
      </c>
      <c r="C204" s="9"/>
      <c r="D204" s="9" t="s">
        <v>501</v>
      </c>
      <c r="E204" s="9" t="s">
        <v>449</v>
      </c>
      <c r="F204" s="3" t="s">
        <v>750</v>
      </c>
      <c r="G204" s="9" t="s">
        <v>445</v>
      </c>
    </row>
    <row r="205" customFormat="false" ht="23.85" hidden="false" customHeight="false" outlineLevel="0" collapsed="false">
      <c r="A205" s="9" t="s">
        <v>751</v>
      </c>
      <c r="B205" s="9" t="s">
        <v>508</v>
      </c>
      <c r="C205" s="9"/>
      <c r="D205" s="9" t="s">
        <v>509</v>
      </c>
      <c r="E205" s="9" t="s">
        <v>449</v>
      </c>
      <c r="F205" s="3" t="s">
        <v>752</v>
      </c>
      <c r="G205" s="9" t="s">
        <v>445</v>
      </c>
    </row>
    <row r="206" customFormat="false" ht="35.05" hidden="false" customHeight="false" outlineLevel="0" collapsed="false">
      <c r="A206" s="9" t="s">
        <v>446</v>
      </c>
      <c r="B206" s="9" t="s">
        <v>496</v>
      </c>
      <c r="C206" s="9"/>
      <c r="D206" s="9" t="s">
        <v>497</v>
      </c>
      <c r="E206" s="9" t="s">
        <v>498</v>
      </c>
      <c r="F206" s="3" t="s">
        <v>753</v>
      </c>
      <c r="G206" s="9" t="s">
        <v>445</v>
      </c>
    </row>
    <row r="207" customFormat="false" ht="23.85" hidden="false" customHeight="false" outlineLevel="0" collapsed="false">
      <c r="A207" s="9" t="s">
        <v>446</v>
      </c>
      <c r="B207" s="9" t="s">
        <v>511</v>
      </c>
      <c r="C207" s="9"/>
      <c r="D207" s="9" t="s">
        <v>512</v>
      </c>
      <c r="E207" s="9" t="s">
        <v>449</v>
      </c>
      <c r="F207" s="3" t="s">
        <v>754</v>
      </c>
      <c r="G207" s="9" t="s">
        <v>445</v>
      </c>
    </row>
    <row r="208" customFormat="false" ht="35.05" hidden="false" customHeight="false" outlineLevel="0" collapsed="false">
      <c r="A208" s="9" t="s">
        <v>442</v>
      </c>
      <c r="B208" s="9" t="s">
        <v>496</v>
      </c>
      <c r="C208" s="9"/>
      <c r="D208" s="9" t="s">
        <v>497</v>
      </c>
      <c r="E208" s="9" t="s">
        <v>498</v>
      </c>
      <c r="F208" s="3" t="s">
        <v>755</v>
      </c>
      <c r="G208" s="9" t="s">
        <v>445</v>
      </c>
    </row>
    <row r="209" customFormat="false" ht="113.4" hidden="false" customHeight="false" outlineLevel="0" collapsed="false">
      <c r="A209" s="9" t="s">
        <v>40</v>
      </c>
      <c r="B209" s="9" t="s">
        <v>343</v>
      </c>
      <c r="C209" s="9"/>
      <c r="D209" s="9" t="s">
        <v>192</v>
      </c>
      <c r="E209" s="9" t="s">
        <v>449</v>
      </c>
      <c r="F209" s="3" t="s">
        <v>756</v>
      </c>
      <c r="G209" s="9" t="s">
        <v>445</v>
      </c>
    </row>
    <row r="210" customFormat="false" ht="23.85" hidden="false" customHeight="false" outlineLevel="0" collapsed="false">
      <c r="A210" s="44" t="s">
        <v>446</v>
      </c>
      <c r="B210" s="44" t="s">
        <v>300</v>
      </c>
      <c r="C210" s="44"/>
      <c r="D210" s="44" t="s">
        <v>161</v>
      </c>
      <c r="E210" s="44" t="s">
        <v>472</v>
      </c>
      <c r="F210" s="45" t="s">
        <v>757</v>
      </c>
      <c r="G210" s="44" t="s">
        <v>468</v>
      </c>
    </row>
    <row r="211" customFormat="false" ht="35.05" hidden="false" customHeight="false" outlineLevel="0" collapsed="false">
      <c r="A211" s="44" t="s">
        <v>41</v>
      </c>
      <c r="B211" s="44" t="s">
        <v>252</v>
      </c>
      <c r="C211" s="44"/>
      <c r="D211" s="44" t="s">
        <v>187</v>
      </c>
      <c r="E211" s="44" t="s">
        <v>472</v>
      </c>
      <c r="F211" s="45" t="s">
        <v>758</v>
      </c>
      <c r="G211" s="44" t="s">
        <v>468</v>
      </c>
    </row>
    <row r="212" customFormat="false" ht="23.85" hidden="false" customHeight="false" outlineLevel="0" collapsed="false">
      <c r="A212" s="9" t="s">
        <v>40</v>
      </c>
      <c r="B212" s="9" t="s">
        <v>759</v>
      </c>
      <c r="C212" s="9"/>
      <c r="D212" s="9" t="s">
        <v>760</v>
      </c>
      <c r="E212" s="9" t="s">
        <v>443</v>
      </c>
      <c r="F212" s="3" t="s">
        <v>761</v>
      </c>
      <c r="G212" s="9" t="s">
        <v>445</v>
      </c>
    </row>
    <row r="213" customFormat="false" ht="15" hidden="false" customHeight="false" outlineLevel="0" collapsed="false">
      <c r="A213" s="9" t="s">
        <v>446</v>
      </c>
      <c r="B213" s="9" t="s">
        <v>746</v>
      </c>
      <c r="C213" s="9"/>
      <c r="D213" s="9" t="s">
        <v>747</v>
      </c>
      <c r="E213" s="9" t="s">
        <v>449</v>
      </c>
      <c r="F213" s="3" t="s">
        <v>762</v>
      </c>
      <c r="G213" s="9" t="s">
        <v>445</v>
      </c>
    </row>
    <row r="214" customFormat="false" ht="57.45" hidden="false" customHeight="false" outlineLevel="0" collapsed="false">
      <c r="A214" s="9" t="s">
        <v>39</v>
      </c>
      <c r="B214" s="9" t="s">
        <v>763</v>
      </c>
      <c r="C214" s="9"/>
      <c r="D214" s="9" t="s">
        <v>764</v>
      </c>
      <c r="E214" s="9" t="s">
        <v>449</v>
      </c>
      <c r="F214" s="3" t="s">
        <v>765</v>
      </c>
      <c r="G214" s="9" t="s">
        <v>445</v>
      </c>
    </row>
    <row r="215" customFormat="false" ht="15" hidden="false" customHeight="false" outlineLevel="0" collapsed="false">
      <c r="A215" s="9" t="s">
        <v>766</v>
      </c>
      <c r="B215" s="9" t="s">
        <v>537</v>
      </c>
      <c r="C215" s="9"/>
      <c r="D215" s="9" t="s">
        <v>538</v>
      </c>
      <c r="E215" s="9" t="s">
        <v>466</v>
      </c>
      <c r="F215" s="3" t="s">
        <v>767</v>
      </c>
      <c r="G215" s="9" t="s">
        <v>445</v>
      </c>
    </row>
    <row r="216" customFormat="false" ht="79.85" hidden="false" customHeight="false" outlineLevel="0" collapsed="false">
      <c r="A216" s="9" t="s">
        <v>442</v>
      </c>
      <c r="B216" s="9" t="s">
        <v>685</v>
      </c>
      <c r="C216" s="9"/>
      <c r="D216" s="9" t="s">
        <v>686</v>
      </c>
      <c r="E216" s="9" t="s">
        <v>449</v>
      </c>
      <c r="F216" s="3" t="s">
        <v>768</v>
      </c>
      <c r="G216" s="9" t="s">
        <v>445</v>
      </c>
    </row>
    <row r="217" customFormat="false" ht="35.05" hidden="false" customHeight="false" outlineLevel="0" collapsed="false">
      <c r="A217" s="9" t="s">
        <v>39</v>
      </c>
      <c r="B217" s="9" t="s">
        <v>463</v>
      </c>
      <c r="C217" s="9"/>
      <c r="D217" s="9" t="s">
        <v>464</v>
      </c>
      <c r="E217" s="9" t="s">
        <v>449</v>
      </c>
      <c r="F217" s="3" t="s">
        <v>769</v>
      </c>
      <c r="G217" s="9" t="s">
        <v>445</v>
      </c>
    </row>
    <row r="218" customFormat="false" ht="79.85" hidden="false" customHeight="false" outlineLevel="0" collapsed="false">
      <c r="A218" s="44" t="s">
        <v>451</v>
      </c>
      <c r="B218" s="44" t="s">
        <v>347</v>
      </c>
      <c r="C218" s="44"/>
      <c r="D218" s="44" t="s">
        <v>160</v>
      </c>
      <c r="E218" s="44" t="s">
        <v>498</v>
      </c>
      <c r="F218" s="45" t="s">
        <v>770</v>
      </c>
      <c r="G218" s="44" t="s">
        <v>468</v>
      </c>
    </row>
    <row r="219" customFormat="false" ht="68.65" hidden="false" customHeight="false" outlineLevel="0" collapsed="false">
      <c r="A219" s="9" t="s">
        <v>41</v>
      </c>
      <c r="B219" s="9" t="s">
        <v>251</v>
      </c>
      <c r="C219" s="9"/>
      <c r="D219" s="9" t="s">
        <v>184</v>
      </c>
      <c r="E219" s="9" t="s">
        <v>449</v>
      </c>
      <c r="F219" s="3" t="s">
        <v>771</v>
      </c>
      <c r="G219" s="9" t="s">
        <v>445</v>
      </c>
    </row>
    <row r="220" customFormat="false" ht="68.65" hidden="false" customHeight="false" outlineLevel="0" collapsed="false">
      <c r="A220" s="44" t="s">
        <v>41</v>
      </c>
      <c r="B220" s="44" t="s">
        <v>270</v>
      </c>
      <c r="C220" s="44"/>
      <c r="D220" s="44" t="s">
        <v>175</v>
      </c>
      <c r="E220" s="44" t="s">
        <v>472</v>
      </c>
      <c r="F220" s="45" t="s">
        <v>772</v>
      </c>
      <c r="G220" s="44" t="s">
        <v>468</v>
      </c>
    </row>
    <row r="221" customFormat="false" ht="23.85" hidden="false" customHeight="false" outlineLevel="0" collapsed="false">
      <c r="A221" s="44" t="s">
        <v>41</v>
      </c>
      <c r="B221" s="44" t="s">
        <v>283</v>
      </c>
      <c r="C221" s="44"/>
      <c r="D221" s="44" t="s">
        <v>221</v>
      </c>
      <c r="E221" s="44" t="s">
        <v>472</v>
      </c>
      <c r="F221" s="45" t="s">
        <v>773</v>
      </c>
      <c r="G221" s="44" t="s">
        <v>468</v>
      </c>
    </row>
    <row r="222" customFormat="false" ht="23.85" hidden="false" customHeight="false" outlineLevel="0" collapsed="false">
      <c r="A222" s="9" t="s">
        <v>451</v>
      </c>
      <c r="B222" s="9" t="s">
        <v>480</v>
      </c>
      <c r="C222" s="9"/>
      <c r="D222" s="9" t="s">
        <v>481</v>
      </c>
      <c r="E222" s="9" t="s">
        <v>449</v>
      </c>
      <c r="F222" s="3" t="s">
        <v>774</v>
      </c>
      <c r="G222" s="9" t="s">
        <v>445</v>
      </c>
    </row>
    <row r="223" customFormat="false" ht="68.65" hidden="false" customHeight="false" outlineLevel="0" collapsed="false">
      <c r="A223" s="9" t="s">
        <v>40</v>
      </c>
      <c r="B223" s="9" t="s">
        <v>264</v>
      </c>
      <c r="C223" s="9"/>
      <c r="D223" s="9" t="s">
        <v>203</v>
      </c>
      <c r="E223" s="9" t="s">
        <v>449</v>
      </c>
      <c r="F223" s="3" t="s">
        <v>775</v>
      </c>
      <c r="G223" s="9" t="s">
        <v>445</v>
      </c>
    </row>
    <row r="224" customFormat="false" ht="35.05" hidden="false" customHeight="false" outlineLevel="0" collapsed="false">
      <c r="A224" s="9" t="s">
        <v>626</v>
      </c>
      <c r="B224" s="9" t="s">
        <v>347</v>
      </c>
      <c r="C224" s="9"/>
      <c r="D224" s="9" t="s">
        <v>160</v>
      </c>
      <c r="E224" s="9" t="s">
        <v>449</v>
      </c>
      <c r="F224" s="3" t="s">
        <v>776</v>
      </c>
      <c r="G224" s="9" t="s">
        <v>445</v>
      </c>
    </row>
    <row r="225" customFormat="false" ht="23.85" hidden="false" customHeight="false" outlineLevel="0" collapsed="false">
      <c r="A225" s="9" t="s">
        <v>442</v>
      </c>
      <c r="B225" s="9" t="s">
        <v>777</v>
      </c>
      <c r="C225" s="9"/>
      <c r="D225" s="9" t="s">
        <v>778</v>
      </c>
      <c r="E225" s="9" t="s">
        <v>449</v>
      </c>
      <c r="F225" s="3" t="s">
        <v>779</v>
      </c>
      <c r="G225" s="9" t="s">
        <v>445</v>
      </c>
    </row>
    <row r="226" customFormat="false" ht="23.85" hidden="false" customHeight="false" outlineLevel="0" collapsed="false">
      <c r="A226" s="9" t="s">
        <v>626</v>
      </c>
      <c r="B226" s="9" t="s">
        <v>780</v>
      </c>
      <c r="C226" s="9"/>
      <c r="D226" s="9" t="s">
        <v>781</v>
      </c>
      <c r="E226" s="9" t="s">
        <v>449</v>
      </c>
      <c r="F226" s="3" t="s">
        <v>782</v>
      </c>
      <c r="G226" s="9" t="s">
        <v>445</v>
      </c>
    </row>
    <row r="227" customFormat="false" ht="23.85" hidden="false" customHeight="false" outlineLevel="0" collapsed="false">
      <c r="A227" s="9" t="s">
        <v>451</v>
      </c>
      <c r="B227" s="9" t="s">
        <v>315</v>
      </c>
      <c r="C227" s="9"/>
      <c r="D227" s="9" t="s">
        <v>222</v>
      </c>
      <c r="E227" s="9" t="s">
        <v>449</v>
      </c>
      <c r="F227" s="3" t="s">
        <v>783</v>
      </c>
      <c r="G227" s="9" t="s">
        <v>445</v>
      </c>
    </row>
    <row r="228" customFormat="false" ht="35.05" hidden="false" customHeight="false" outlineLevel="0" collapsed="false">
      <c r="A228" s="9" t="s">
        <v>41</v>
      </c>
      <c r="B228" s="9" t="s">
        <v>500</v>
      </c>
      <c r="C228" s="9"/>
      <c r="D228" s="9" t="s">
        <v>501</v>
      </c>
      <c r="E228" s="9" t="s">
        <v>449</v>
      </c>
      <c r="F228" s="3" t="s">
        <v>784</v>
      </c>
      <c r="G228" s="9" t="s">
        <v>445</v>
      </c>
    </row>
    <row r="229" customFormat="false" ht="35.05" hidden="false" customHeight="false" outlineLevel="0" collapsed="false">
      <c r="A229" s="9" t="s">
        <v>751</v>
      </c>
      <c r="B229" s="9" t="s">
        <v>531</v>
      </c>
      <c r="C229" s="9"/>
      <c r="D229" s="9" t="s">
        <v>532</v>
      </c>
      <c r="E229" s="9" t="s">
        <v>449</v>
      </c>
      <c r="F229" s="3" t="s">
        <v>785</v>
      </c>
      <c r="G229" s="9" t="s">
        <v>445</v>
      </c>
    </row>
    <row r="230" customFormat="false" ht="57.45" hidden="false" customHeight="false" outlineLevel="0" collapsed="false">
      <c r="A230" s="9" t="s">
        <v>39</v>
      </c>
      <c r="B230" s="9" t="s">
        <v>558</v>
      </c>
      <c r="C230" s="9"/>
      <c r="D230" s="9" t="s">
        <v>559</v>
      </c>
      <c r="E230" s="9" t="s">
        <v>449</v>
      </c>
      <c r="F230" s="3" t="s">
        <v>786</v>
      </c>
      <c r="G230" s="9" t="s">
        <v>445</v>
      </c>
    </row>
    <row r="231" customFormat="false" ht="15" hidden="false" customHeight="false" outlineLevel="0" collapsed="false">
      <c r="A231" s="9" t="s">
        <v>716</v>
      </c>
      <c r="B231" s="9" t="s">
        <v>591</v>
      </c>
      <c r="C231" s="9"/>
      <c r="D231" s="9" t="s">
        <v>592</v>
      </c>
      <c r="E231" s="9" t="s">
        <v>449</v>
      </c>
      <c r="F231" s="3" t="s">
        <v>787</v>
      </c>
      <c r="G231" s="9" t="s">
        <v>445</v>
      </c>
    </row>
    <row r="232" customFormat="false" ht="102.2" hidden="false" customHeight="false" outlineLevel="0" collapsed="false">
      <c r="A232" s="9" t="s">
        <v>446</v>
      </c>
      <c r="B232" s="9" t="s">
        <v>101</v>
      </c>
      <c r="C232" s="9"/>
      <c r="D232" s="9" t="s">
        <v>155</v>
      </c>
      <c r="E232" s="9" t="s">
        <v>443</v>
      </c>
      <c r="F232" s="3" t="s">
        <v>788</v>
      </c>
      <c r="G232" s="9" t="s">
        <v>445</v>
      </c>
    </row>
    <row r="233" customFormat="false" ht="57.45" hidden="false" customHeight="false" outlineLevel="0" collapsed="false">
      <c r="A233" s="9" t="s">
        <v>40</v>
      </c>
      <c r="B233" s="9" t="s">
        <v>276</v>
      </c>
      <c r="C233" s="9"/>
      <c r="D233" s="9" t="s">
        <v>180</v>
      </c>
      <c r="E233" s="9" t="s">
        <v>449</v>
      </c>
      <c r="F233" s="3" t="s">
        <v>789</v>
      </c>
      <c r="G233" s="9" t="s">
        <v>445</v>
      </c>
    </row>
    <row r="234" customFormat="false" ht="23.85" hidden="false" customHeight="false" outlineLevel="0" collapsed="false">
      <c r="A234" s="9" t="s">
        <v>451</v>
      </c>
      <c r="B234" s="9" t="s">
        <v>790</v>
      </c>
      <c r="C234" s="9"/>
      <c r="D234" s="9" t="s">
        <v>791</v>
      </c>
      <c r="E234" s="9" t="s">
        <v>466</v>
      </c>
      <c r="F234" s="3" t="s">
        <v>792</v>
      </c>
      <c r="G234" s="9" t="s">
        <v>445</v>
      </c>
    </row>
    <row r="235" customFormat="false" ht="35.05" hidden="false" customHeight="false" outlineLevel="0" collapsed="false">
      <c r="A235" s="44" t="s">
        <v>442</v>
      </c>
      <c r="B235" s="44" t="s">
        <v>300</v>
      </c>
      <c r="C235" s="44"/>
      <c r="D235" s="44" t="s">
        <v>161</v>
      </c>
      <c r="E235" s="44" t="s">
        <v>472</v>
      </c>
      <c r="F235" s="45" t="s">
        <v>793</v>
      </c>
      <c r="G235" s="44" t="s">
        <v>468</v>
      </c>
    </row>
    <row r="236" customFormat="false" ht="35.05" hidden="false" customHeight="false" outlineLevel="0" collapsed="false">
      <c r="A236" s="44" t="s">
        <v>40</v>
      </c>
      <c r="B236" s="44" t="s">
        <v>303</v>
      </c>
      <c r="C236" s="44"/>
      <c r="D236" s="44" t="s">
        <v>193</v>
      </c>
      <c r="E236" s="44" t="s">
        <v>472</v>
      </c>
      <c r="F236" s="45" t="s">
        <v>794</v>
      </c>
      <c r="G236" s="44" t="s">
        <v>468</v>
      </c>
    </row>
    <row r="237" customFormat="false" ht="79.85" hidden="false" customHeight="false" outlineLevel="0" collapsed="false">
      <c r="A237" s="9" t="s">
        <v>40</v>
      </c>
      <c r="B237" s="9" t="s">
        <v>251</v>
      </c>
      <c r="C237" s="9"/>
      <c r="D237" s="9" t="s">
        <v>184</v>
      </c>
      <c r="E237" s="9" t="s">
        <v>449</v>
      </c>
      <c r="F237" s="3" t="s">
        <v>795</v>
      </c>
      <c r="G237" s="9" t="s">
        <v>445</v>
      </c>
    </row>
    <row r="238" customFormat="false" ht="23.85" hidden="false" customHeight="false" outlineLevel="0" collapsed="false">
      <c r="A238" s="9" t="s">
        <v>40</v>
      </c>
      <c r="B238" s="9" t="s">
        <v>333</v>
      </c>
      <c r="C238" s="9"/>
      <c r="D238" s="9" t="s">
        <v>207</v>
      </c>
      <c r="E238" s="9" t="s">
        <v>449</v>
      </c>
      <c r="F238" s="3" t="s">
        <v>796</v>
      </c>
      <c r="G238" s="9" t="s">
        <v>445</v>
      </c>
    </row>
    <row r="239" customFormat="false" ht="35.05" hidden="false" customHeight="false" outlineLevel="0" collapsed="false">
      <c r="A239" s="44" t="s">
        <v>462</v>
      </c>
      <c r="B239" s="44" t="s">
        <v>257</v>
      </c>
      <c r="C239" s="44"/>
      <c r="D239" s="44" t="s">
        <v>209</v>
      </c>
      <c r="E239" s="44" t="s">
        <v>472</v>
      </c>
      <c r="F239" s="45" t="s">
        <v>797</v>
      </c>
      <c r="G239" s="44" t="s">
        <v>468</v>
      </c>
    </row>
    <row r="240" customFormat="false" ht="102.2" hidden="false" customHeight="false" outlineLevel="0" collapsed="false">
      <c r="A240" s="9" t="s">
        <v>451</v>
      </c>
      <c r="B240" s="9" t="s">
        <v>101</v>
      </c>
      <c r="C240" s="9"/>
      <c r="D240" s="9" t="s">
        <v>155</v>
      </c>
      <c r="E240" s="9" t="s">
        <v>443</v>
      </c>
      <c r="F240" s="3" t="s">
        <v>798</v>
      </c>
      <c r="G240" s="9" t="s">
        <v>445</v>
      </c>
    </row>
    <row r="241" customFormat="false" ht="35.05" hidden="false" customHeight="false" outlineLevel="0" collapsed="false">
      <c r="A241" s="9" t="s">
        <v>442</v>
      </c>
      <c r="B241" s="9" t="s">
        <v>294</v>
      </c>
      <c r="C241" s="9"/>
      <c r="D241" s="9" t="s">
        <v>196</v>
      </c>
      <c r="E241" s="9" t="s">
        <v>449</v>
      </c>
      <c r="F241" s="3" t="s">
        <v>799</v>
      </c>
      <c r="G241" s="9" t="s">
        <v>445</v>
      </c>
    </row>
    <row r="242" customFormat="false" ht="35.05" hidden="false" customHeight="false" outlineLevel="0" collapsed="false">
      <c r="A242" s="44" t="s">
        <v>41</v>
      </c>
      <c r="B242" s="44" t="s">
        <v>295</v>
      </c>
      <c r="C242" s="44"/>
      <c r="D242" s="44" t="s">
        <v>185</v>
      </c>
      <c r="E242" s="44" t="s">
        <v>472</v>
      </c>
      <c r="F242" s="45" t="s">
        <v>800</v>
      </c>
      <c r="G242" s="44" t="s">
        <v>468</v>
      </c>
    </row>
    <row r="243" customFormat="false" ht="23.85" hidden="false" customHeight="false" outlineLevel="0" collapsed="false">
      <c r="A243" s="9" t="s">
        <v>451</v>
      </c>
      <c r="B243" s="9" t="s">
        <v>544</v>
      </c>
      <c r="C243" s="9"/>
      <c r="D243" s="9" t="s">
        <v>545</v>
      </c>
      <c r="E243" s="9" t="s">
        <v>498</v>
      </c>
      <c r="F243" s="3" t="s">
        <v>801</v>
      </c>
      <c r="G243" s="9" t="s">
        <v>445</v>
      </c>
    </row>
    <row r="244" customFormat="false" ht="23.85" hidden="false" customHeight="false" outlineLevel="0" collapsed="false">
      <c r="A244" s="9" t="s">
        <v>553</v>
      </c>
      <c r="B244" s="9" t="s">
        <v>508</v>
      </c>
      <c r="C244" s="9"/>
      <c r="D244" s="9" t="s">
        <v>509</v>
      </c>
      <c r="E244" s="9" t="s">
        <v>449</v>
      </c>
      <c r="F244" s="3" t="s">
        <v>802</v>
      </c>
      <c r="G244" s="9" t="s">
        <v>445</v>
      </c>
    </row>
    <row r="245" customFormat="false" ht="46.25" hidden="false" customHeight="false" outlineLevel="0" collapsed="false">
      <c r="A245" s="9" t="s">
        <v>40</v>
      </c>
      <c r="B245" s="9" t="s">
        <v>558</v>
      </c>
      <c r="C245" s="9"/>
      <c r="D245" s="9" t="s">
        <v>559</v>
      </c>
      <c r="E245" s="9" t="s">
        <v>472</v>
      </c>
      <c r="F245" s="3" t="s">
        <v>803</v>
      </c>
      <c r="G245" s="9" t="s">
        <v>445</v>
      </c>
    </row>
    <row r="246" customFormat="false" ht="46.25" hidden="false" customHeight="false" outlineLevel="0" collapsed="false">
      <c r="A246" s="9" t="s">
        <v>442</v>
      </c>
      <c r="B246" s="9" t="s">
        <v>566</v>
      </c>
      <c r="C246" s="9"/>
      <c r="D246" s="9" t="s">
        <v>567</v>
      </c>
      <c r="E246" s="9" t="s">
        <v>449</v>
      </c>
      <c r="F246" s="3" t="s">
        <v>804</v>
      </c>
      <c r="G246" s="9" t="s">
        <v>445</v>
      </c>
    </row>
    <row r="247" customFormat="false" ht="79.85" hidden="false" customHeight="false" outlineLevel="0" collapsed="false">
      <c r="A247" s="9" t="s">
        <v>446</v>
      </c>
      <c r="B247" s="9" t="s">
        <v>505</v>
      </c>
      <c r="C247" s="9"/>
      <c r="D247" s="9" t="s">
        <v>506</v>
      </c>
      <c r="E247" s="9" t="s">
        <v>449</v>
      </c>
      <c r="F247" s="3" t="s">
        <v>805</v>
      </c>
      <c r="G247" s="9" t="s">
        <v>445</v>
      </c>
    </row>
    <row r="248" customFormat="false" ht="23.85" hidden="false" customHeight="false" outlineLevel="0" collapsed="false">
      <c r="A248" s="9" t="s">
        <v>39</v>
      </c>
      <c r="B248" s="9" t="s">
        <v>777</v>
      </c>
      <c r="C248" s="9"/>
      <c r="D248" s="9" t="s">
        <v>778</v>
      </c>
      <c r="E248" s="9" t="s">
        <v>449</v>
      </c>
      <c r="F248" s="3" t="s">
        <v>806</v>
      </c>
      <c r="G248" s="9" t="s">
        <v>445</v>
      </c>
    </row>
    <row r="249" customFormat="false" ht="46.25" hidden="false" customHeight="false" outlineLevel="0" collapsed="false">
      <c r="A249" s="9" t="s">
        <v>40</v>
      </c>
      <c r="B249" s="9" t="s">
        <v>463</v>
      </c>
      <c r="C249" s="9"/>
      <c r="D249" s="9" t="s">
        <v>464</v>
      </c>
      <c r="E249" s="9" t="s">
        <v>449</v>
      </c>
      <c r="F249" s="3" t="s">
        <v>807</v>
      </c>
      <c r="G249" s="9" t="s">
        <v>445</v>
      </c>
    </row>
    <row r="250" customFormat="false" ht="23.85" hidden="false" customHeight="false" outlineLevel="0" collapsed="false">
      <c r="A250" s="9" t="s">
        <v>40</v>
      </c>
      <c r="B250" s="9" t="s">
        <v>483</v>
      </c>
      <c r="C250" s="9"/>
      <c r="D250" s="9" t="s">
        <v>484</v>
      </c>
      <c r="E250" s="9" t="s">
        <v>472</v>
      </c>
      <c r="F250" s="3" t="s">
        <v>808</v>
      </c>
      <c r="G250" s="9" t="s">
        <v>445</v>
      </c>
    </row>
    <row r="251" customFormat="false" ht="23.85" hidden="false" customHeight="false" outlineLevel="0" collapsed="false">
      <c r="A251" s="9" t="s">
        <v>470</v>
      </c>
      <c r="B251" s="9" t="s">
        <v>280</v>
      </c>
      <c r="C251" s="9"/>
      <c r="D251" s="9" t="s">
        <v>219</v>
      </c>
      <c r="E251" s="9" t="s">
        <v>449</v>
      </c>
      <c r="F251" s="3" t="s">
        <v>809</v>
      </c>
      <c r="G251" s="9" t="s">
        <v>445</v>
      </c>
    </row>
    <row r="252" customFormat="false" ht="15" hidden="false" customHeight="false" outlineLevel="0" collapsed="false">
      <c r="A252" s="9" t="s">
        <v>438</v>
      </c>
      <c r="B252" s="9"/>
      <c r="C252" s="9"/>
      <c r="D252" s="9"/>
      <c r="E252" s="9" t="s">
        <v>466</v>
      </c>
      <c r="F252" s="3" t="s">
        <v>810</v>
      </c>
      <c r="G252" s="9" t="s">
        <v>445</v>
      </c>
    </row>
    <row r="253" customFormat="false" ht="57.45" hidden="false" customHeight="false" outlineLevel="0" collapsed="false">
      <c r="A253" s="9" t="s">
        <v>40</v>
      </c>
      <c r="B253" s="9" t="s">
        <v>268</v>
      </c>
      <c r="C253" s="9"/>
      <c r="D253" s="9" t="s">
        <v>198</v>
      </c>
      <c r="E253" s="9" t="s">
        <v>449</v>
      </c>
      <c r="F253" s="3" t="s">
        <v>811</v>
      </c>
      <c r="G253" s="9" t="s">
        <v>445</v>
      </c>
    </row>
    <row r="254" customFormat="false" ht="15" hidden="false" customHeight="false" outlineLevel="0" collapsed="false">
      <c r="A254" s="9" t="s">
        <v>470</v>
      </c>
      <c r="B254" s="9" t="s">
        <v>286</v>
      </c>
      <c r="C254" s="9"/>
      <c r="D254" s="9" t="s">
        <v>194</v>
      </c>
      <c r="E254" s="9" t="s">
        <v>449</v>
      </c>
      <c r="F254" s="3" t="s">
        <v>812</v>
      </c>
      <c r="G254" s="9" t="s">
        <v>445</v>
      </c>
    </row>
    <row r="255" customFormat="false" ht="35.05" hidden="false" customHeight="false" outlineLevel="0" collapsed="false">
      <c r="A255" s="9" t="s">
        <v>470</v>
      </c>
      <c r="B255" s="9" t="s">
        <v>813</v>
      </c>
      <c r="C255" s="9"/>
      <c r="D255" s="9" t="s">
        <v>814</v>
      </c>
      <c r="E255" s="9" t="s">
        <v>449</v>
      </c>
      <c r="F255" s="3" t="s">
        <v>815</v>
      </c>
      <c r="G255" s="9" t="s">
        <v>445</v>
      </c>
    </row>
    <row r="256" customFormat="false" ht="46.25" hidden="false" customHeight="false" outlineLevel="0" collapsed="false">
      <c r="A256" s="9" t="s">
        <v>39</v>
      </c>
      <c r="B256" s="9" t="s">
        <v>288</v>
      </c>
      <c r="C256" s="9"/>
      <c r="D256" s="9" t="s">
        <v>212</v>
      </c>
      <c r="E256" s="9" t="s">
        <v>449</v>
      </c>
      <c r="F256" s="3" t="s">
        <v>816</v>
      </c>
      <c r="G256" s="9" t="s">
        <v>445</v>
      </c>
    </row>
    <row r="257" customFormat="false" ht="23.85" hidden="false" customHeight="false" outlineLevel="0" collapsed="false">
      <c r="A257" s="9" t="s">
        <v>470</v>
      </c>
      <c r="B257" s="9" t="s">
        <v>817</v>
      </c>
      <c r="C257" s="9"/>
      <c r="D257" s="9" t="s">
        <v>818</v>
      </c>
      <c r="E257" s="9" t="s">
        <v>449</v>
      </c>
      <c r="F257" s="3" t="s">
        <v>819</v>
      </c>
      <c r="G257" s="9" t="s">
        <v>445</v>
      </c>
    </row>
    <row r="258" customFormat="false" ht="23.85" hidden="false" customHeight="false" outlineLevel="0" collapsed="false">
      <c r="A258" s="9" t="s">
        <v>442</v>
      </c>
      <c r="B258" s="9" t="s">
        <v>480</v>
      </c>
      <c r="C258" s="9"/>
      <c r="D258" s="9" t="s">
        <v>481</v>
      </c>
      <c r="E258" s="9" t="s">
        <v>449</v>
      </c>
      <c r="F258" s="3" t="s">
        <v>820</v>
      </c>
      <c r="G258" s="9" t="s">
        <v>445</v>
      </c>
    </row>
    <row r="259" customFormat="false" ht="35.05" hidden="false" customHeight="false" outlineLevel="0" collapsed="false">
      <c r="A259" s="9" t="s">
        <v>40</v>
      </c>
      <c r="B259" s="9" t="s">
        <v>480</v>
      </c>
      <c r="C259" s="9"/>
      <c r="D259" s="9" t="s">
        <v>481</v>
      </c>
      <c r="E259" s="9" t="s">
        <v>449</v>
      </c>
      <c r="F259" s="3" t="s">
        <v>821</v>
      </c>
      <c r="G259" s="9" t="s">
        <v>445</v>
      </c>
    </row>
    <row r="260" customFormat="false" ht="35.05" hidden="false" customHeight="false" outlineLevel="0" collapsed="false">
      <c r="A260" s="9" t="s">
        <v>451</v>
      </c>
      <c r="B260" s="9" t="s">
        <v>278</v>
      </c>
      <c r="C260" s="9"/>
      <c r="D260" s="9" t="s">
        <v>220</v>
      </c>
      <c r="E260" s="9" t="s">
        <v>449</v>
      </c>
      <c r="F260" s="3" t="s">
        <v>822</v>
      </c>
      <c r="G260" s="9" t="s">
        <v>445</v>
      </c>
    </row>
    <row r="261" customFormat="false" ht="15" hidden="false" customHeight="false" outlineLevel="0" collapsed="false">
      <c r="A261" s="9" t="s">
        <v>40</v>
      </c>
      <c r="B261" s="9" t="s">
        <v>291</v>
      </c>
      <c r="C261" s="9"/>
      <c r="D261" s="9" t="s">
        <v>165</v>
      </c>
      <c r="E261" s="9" t="s">
        <v>449</v>
      </c>
      <c r="F261" s="3" t="s">
        <v>823</v>
      </c>
      <c r="G261" s="9" t="s">
        <v>445</v>
      </c>
    </row>
    <row r="262" customFormat="false" ht="15" hidden="false" customHeight="false" outlineLevel="0" collapsed="false">
      <c r="A262" s="9" t="s">
        <v>470</v>
      </c>
      <c r="B262" s="9" t="s">
        <v>558</v>
      </c>
      <c r="C262" s="9"/>
      <c r="D262" s="9" t="s">
        <v>559</v>
      </c>
      <c r="E262" s="9" t="s">
        <v>449</v>
      </c>
      <c r="F262" s="3" t="s">
        <v>824</v>
      </c>
      <c r="G262" s="9" t="s">
        <v>445</v>
      </c>
    </row>
    <row r="263" customFormat="false" ht="23.85" hidden="false" customHeight="false" outlineLevel="0" collapsed="false">
      <c r="A263" s="9" t="s">
        <v>716</v>
      </c>
      <c r="B263" s="9" t="s">
        <v>825</v>
      </c>
      <c r="C263" s="9"/>
      <c r="D263" s="9" t="s">
        <v>826</v>
      </c>
      <c r="E263" s="9" t="s">
        <v>449</v>
      </c>
      <c r="F263" s="3" t="s">
        <v>827</v>
      </c>
      <c r="G263" s="9" t="s">
        <v>445</v>
      </c>
    </row>
    <row r="264" customFormat="false" ht="35.05" hidden="false" customHeight="false" outlineLevel="0" collapsed="false">
      <c r="A264" s="44" t="s">
        <v>40</v>
      </c>
      <c r="B264" s="44" t="s">
        <v>271</v>
      </c>
      <c r="C264" s="44"/>
      <c r="D264" s="44" t="s">
        <v>199</v>
      </c>
      <c r="E264" s="44" t="s">
        <v>472</v>
      </c>
      <c r="F264" s="45" t="s">
        <v>828</v>
      </c>
      <c r="G264" s="44" t="s">
        <v>468</v>
      </c>
    </row>
    <row r="265" customFormat="false" ht="35.05" hidden="false" customHeight="false" outlineLevel="0" collapsed="false">
      <c r="A265" s="9" t="s">
        <v>40</v>
      </c>
      <c r="B265" s="9" t="s">
        <v>300</v>
      </c>
      <c r="C265" s="9"/>
      <c r="D265" s="9" t="s">
        <v>161</v>
      </c>
      <c r="E265" s="9" t="s">
        <v>449</v>
      </c>
      <c r="F265" s="3" t="s">
        <v>829</v>
      </c>
      <c r="G265" s="9" t="s">
        <v>445</v>
      </c>
    </row>
    <row r="266" customFormat="false" ht="23.85" hidden="false" customHeight="false" outlineLevel="0" collapsed="false">
      <c r="A266" s="9" t="s">
        <v>41</v>
      </c>
      <c r="B266" s="9" t="s">
        <v>763</v>
      </c>
      <c r="C266" s="9"/>
      <c r="D266" s="9" t="s">
        <v>764</v>
      </c>
      <c r="E266" s="9" t="s">
        <v>472</v>
      </c>
      <c r="F266" s="3" t="s">
        <v>830</v>
      </c>
      <c r="G266" s="9" t="s">
        <v>445</v>
      </c>
    </row>
    <row r="267" customFormat="false" ht="46.25" hidden="false" customHeight="false" outlineLevel="0" collapsed="false">
      <c r="A267" s="9" t="s">
        <v>41</v>
      </c>
      <c r="B267" s="9" t="s">
        <v>558</v>
      </c>
      <c r="C267" s="9"/>
      <c r="D267" s="9" t="s">
        <v>559</v>
      </c>
      <c r="E267" s="9" t="s">
        <v>472</v>
      </c>
      <c r="F267" s="3" t="s">
        <v>831</v>
      </c>
      <c r="G267" s="9" t="s">
        <v>445</v>
      </c>
    </row>
    <row r="268" customFormat="false" ht="15" hidden="false" customHeight="false" outlineLevel="0" collapsed="false">
      <c r="A268" s="9" t="s">
        <v>446</v>
      </c>
      <c r="B268" s="9" t="s">
        <v>832</v>
      </c>
      <c r="C268" s="9"/>
      <c r="D268" s="9" t="s">
        <v>833</v>
      </c>
      <c r="E268" s="9" t="s">
        <v>466</v>
      </c>
      <c r="F268" s="3" t="s">
        <v>834</v>
      </c>
      <c r="G268" s="9" t="s">
        <v>445</v>
      </c>
    </row>
    <row r="269" customFormat="false" ht="35.05" hidden="false" customHeight="false" outlineLevel="0" collapsed="false">
      <c r="A269" s="44" t="s">
        <v>40</v>
      </c>
      <c r="B269" s="44" t="s">
        <v>268</v>
      </c>
      <c r="C269" s="44"/>
      <c r="D269" s="44" t="s">
        <v>198</v>
      </c>
      <c r="E269" s="44" t="s">
        <v>472</v>
      </c>
      <c r="F269" s="45" t="s">
        <v>835</v>
      </c>
      <c r="G269" s="44" t="s">
        <v>468</v>
      </c>
    </row>
    <row r="270" customFormat="false" ht="79.85" hidden="false" customHeight="false" outlineLevel="0" collapsed="false">
      <c r="A270" s="9" t="s">
        <v>446</v>
      </c>
      <c r="B270" s="9" t="s">
        <v>685</v>
      </c>
      <c r="C270" s="9"/>
      <c r="D270" s="9" t="s">
        <v>686</v>
      </c>
      <c r="E270" s="9" t="s">
        <v>449</v>
      </c>
      <c r="F270" s="3" t="s">
        <v>836</v>
      </c>
      <c r="G270" s="9" t="s">
        <v>445</v>
      </c>
    </row>
    <row r="271" customFormat="false" ht="35.05" hidden="false" customHeight="false" outlineLevel="0" collapsed="false">
      <c r="A271" s="9" t="s">
        <v>41</v>
      </c>
      <c r="B271" s="9" t="s">
        <v>639</v>
      </c>
      <c r="C271" s="9"/>
      <c r="D271" s="9" t="s">
        <v>640</v>
      </c>
      <c r="E271" s="9" t="s">
        <v>472</v>
      </c>
      <c r="F271" s="3" t="s">
        <v>837</v>
      </c>
      <c r="G271" s="9" t="s">
        <v>445</v>
      </c>
    </row>
    <row r="272" customFormat="false" ht="23.85" hidden="false" customHeight="false" outlineLevel="0" collapsed="false">
      <c r="A272" s="9" t="s">
        <v>470</v>
      </c>
      <c r="B272" s="9" t="s">
        <v>601</v>
      </c>
      <c r="C272" s="9"/>
      <c r="D272" s="9" t="s">
        <v>602</v>
      </c>
      <c r="E272" s="9" t="s">
        <v>449</v>
      </c>
      <c r="F272" s="3" t="s">
        <v>838</v>
      </c>
      <c r="G272" s="9" t="s">
        <v>445</v>
      </c>
    </row>
    <row r="273" customFormat="false" ht="23.85" hidden="false" customHeight="false" outlineLevel="0" collapsed="false">
      <c r="A273" s="9" t="s">
        <v>442</v>
      </c>
      <c r="B273" s="9" t="s">
        <v>558</v>
      </c>
      <c r="C273" s="9"/>
      <c r="D273" s="9" t="s">
        <v>559</v>
      </c>
      <c r="E273" s="9" t="s">
        <v>449</v>
      </c>
      <c r="F273" s="3" t="s">
        <v>839</v>
      </c>
      <c r="G273" s="9" t="s">
        <v>445</v>
      </c>
    </row>
    <row r="274" customFormat="false" ht="15" hidden="false" customHeight="false" outlineLevel="0" collapsed="false">
      <c r="A274" s="44" t="s">
        <v>446</v>
      </c>
      <c r="B274" s="44" t="s">
        <v>251</v>
      </c>
      <c r="C274" s="44"/>
      <c r="D274" s="44" t="s">
        <v>184</v>
      </c>
      <c r="E274" s="44" t="s">
        <v>472</v>
      </c>
      <c r="F274" s="45" t="s">
        <v>840</v>
      </c>
      <c r="G274" s="44" t="s">
        <v>468</v>
      </c>
    </row>
    <row r="275" customFormat="false" ht="23.85" hidden="false" customHeight="false" outlineLevel="0" collapsed="false">
      <c r="A275" s="44" t="s">
        <v>442</v>
      </c>
      <c r="B275" s="44" t="s">
        <v>256</v>
      </c>
      <c r="C275" s="44"/>
      <c r="D275" s="44" t="s">
        <v>157</v>
      </c>
      <c r="E275" s="44" t="s">
        <v>472</v>
      </c>
      <c r="F275" s="45" t="s">
        <v>841</v>
      </c>
      <c r="G275" s="44" t="s">
        <v>468</v>
      </c>
    </row>
    <row r="276" customFormat="false" ht="35.05" hidden="false" customHeight="false" outlineLevel="0" collapsed="false">
      <c r="A276" s="44" t="s">
        <v>41</v>
      </c>
      <c r="B276" s="44" t="s">
        <v>268</v>
      </c>
      <c r="C276" s="44"/>
      <c r="D276" s="44" t="s">
        <v>198</v>
      </c>
      <c r="E276" s="44" t="s">
        <v>472</v>
      </c>
      <c r="F276" s="45" t="s">
        <v>842</v>
      </c>
      <c r="G276" s="44" t="s">
        <v>468</v>
      </c>
    </row>
    <row r="277" customFormat="false" ht="23.85" hidden="false" customHeight="false" outlineLevel="0" collapsed="false">
      <c r="A277" s="9" t="s">
        <v>40</v>
      </c>
      <c r="B277" s="9" t="s">
        <v>278</v>
      </c>
      <c r="C277" s="9"/>
      <c r="D277" s="9" t="s">
        <v>220</v>
      </c>
      <c r="E277" s="9" t="s">
        <v>449</v>
      </c>
      <c r="F277" s="3" t="s">
        <v>843</v>
      </c>
      <c r="G277" s="9" t="s">
        <v>445</v>
      </c>
    </row>
    <row r="278" customFormat="false" ht="15" hidden="false" customHeight="false" outlineLevel="0" collapsed="false">
      <c r="A278" s="9" t="s">
        <v>451</v>
      </c>
      <c r="B278" s="9" t="s">
        <v>327</v>
      </c>
      <c r="C278" s="9"/>
      <c r="D278" s="9" t="s">
        <v>206</v>
      </c>
      <c r="E278" s="9" t="s">
        <v>449</v>
      </c>
      <c r="F278" s="3" t="s">
        <v>844</v>
      </c>
      <c r="G278" s="9" t="s">
        <v>445</v>
      </c>
    </row>
    <row r="279" customFormat="false" ht="35.05" hidden="false" customHeight="false" outlineLevel="0" collapsed="false">
      <c r="A279" s="9" t="s">
        <v>451</v>
      </c>
      <c r="B279" s="9" t="s">
        <v>570</v>
      </c>
      <c r="C279" s="9"/>
      <c r="D279" s="9" t="s">
        <v>571</v>
      </c>
      <c r="E279" s="9" t="s">
        <v>449</v>
      </c>
      <c r="F279" s="3" t="s">
        <v>845</v>
      </c>
      <c r="G279" s="9" t="s">
        <v>445</v>
      </c>
    </row>
    <row r="280" customFormat="false" ht="23.85" hidden="false" customHeight="false" outlineLevel="0" collapsed="false">
      <c r="A280" s="9" t="s">
        <v>470</v>
      </c>
      <c r="B280" s="9" t="s">
        <v>245</v>
      </c>
      <c r="C280" s="9"/>
      <c r="D280" s="9" t="s">
        <v>204</v>
      </c>
      <c r="E280" s="9" t="s">
        <v>449</v>
      </c>
      <c r="F280" s="3" t="s">
        <v>846</v>
      </c>
      <c r="G280" s="9" t="s">
        <v>445</v>
      </c>
    </row>
    <row r="281" customFormat="false" ht="23.85" hidden="false" customHeight="false" outlineLevel="0" collapsed="false">
      <c r="A281" s="9" t="s">
        <v>442</v>
      </c>
      <c r="B281" s="9" t="s">
        <v>596</v>
      </c>
      <c r="C281" s="9"/>
      <c r="D281" s="9" t="s">
        <v>597</v>
      </c>
      <c r="E281" s="9" t="s">
        <v>449</v>
      </c>
      <c r="F281" s="3" t="s">
        <v>847</v>
      </c>
      <c r="G281" s="9" t="s">
        <v>445</v>
      </c>
    </row>
    <row r="282" customFormat="false" ht="15" hidden="false" customHeight="false" outlineLevel="0" collapsed="false">
      <c r="A282" s="44" t="s">
        <v>446</v>
      </c>
      <c r="B282" s="44" t="s">
        <v>342</v>
      </c>
      <c r="C282" s="44"/>
      <c r="D282" s="44" t="s">
        <v>182</v>
      </c>
      <c r="E282" s="44" t="s">
        <v>472</v>
      </c>
      <c r="F282" s="45" t="s">
        <v>848</v>
      </c>
      <c r="G282" s="44" t="s">
        <v>468</v>
      </c>
    </row>
    <row r="283" customFormat="false" ht="57.45" hidden="false" customHeight="false" outlineLevel="0" collapsed="false">
      <c r="A283" s="9" t="s">
        <v>41</v>
      </c>
      <c r="B283" s="9" t="s">
        <v>691</v>
      </c>
      <c r="C283" s="9"/>
      <c r="D283" s="9" t="s">
        <v>692</v>
      </c>
      <c r="E283" s="9" t="s">
        <v>472</v>
      </c>
      <c r="F283" s="3" t="s">
        <v>849</v>
      </c>
      <c r="G283" s="9" t="s">
        <v>445</v>
      </c>
    </row>
    <row r="284" customFormat="false" ht="35.05" hidden="false" customHeight="false" outlineLevel="0" collapsed="false">
      <c r="A284" s="44" t="s">
        <v>41</v>
      </c>
      <c r="B284" s="44" t="s">
        <v>281</v>
      </c>
      <c r="C284" s="44"/>
      <c r="D284" s="44" t="s">
        <v>174</v>
      </c>
      <c r="E284" s="44" t="s">
        <v>472</v>
      </c>
      <c r="F284" s="45" t="s">
        <v>850</v>
      </c>
      <c r="G284" s="44" t="s">
        <v>468</v>
      </c>
    </row>
    <row r="285" customFormat="false" ht="15" hidden="false" customHeight="false" outlineLevel="0" collapsed="false">
      <c r="A285" s="44" t="s">
        <v>514</v>
      </c>
      <c r="B285" s="44" t="s">
        <v>260</v>
      </c>
      <c r="C285" s="44"/>
      <c r="D285" s="44" t="s">
        <v>158</v>
      </c>
      <c r="E285" s="44" t="s">
        <v>439</v>
      </c>
      <c r="F285" s="45" t="s">
        <v>851</v>
      </c>
      <c r="G285" s="44" t="s">
        <v>468</v>
      </c>
    </row>
    <row r="286" customFormat="false" ht="15" hidden="false" customHeight="false" outlineLevel="0" collapsed="false">
      <c r="A286" s="44" t="s">
        <v>442</v>
      </c>
      <c r="B286" s="44" t="s">
        <v>342</v>
      </c>
      <c r="C286" s="44"/>
      <c r="D286" s="44" t="s">
        <v>182</v>
      </c>
      <c r="E286" s="44" t="s">
        <v>472</v>
      </c>
      <c r="F286" s="45" t="s">
        <v>852</v>
      </c>
      <c r="G286" s="44" t="s">
        <v>468</v>
      </c>
    </row>
    <row r="287" customFormat="false" ht="15" hidden="false" customHeight="false" outlineLevel="0" collapsed="false">
      <c r="A287" s="44" t="s">
        <v>40</v>
      </c>
      <c r="B287" s="44" t="s">
        <v>258</v>
      </c>
      <c r="C287" s="44"/>
      <c r="D287" s="44" t="s">
        <v>176</v>
      </c>
      <c r="E287" s="44" t="s">
        <v>472</v>
      </c>
      <c r="F287" s="45" t="s">
        <v>853</v>
      </c>
      <c r="G287" s="44" t="s">
        <v>468</v>
      </c>
    </row>
    <row r="288" customFormat="false" ht="15" hidden="false" customHeight="false" outlineLevel="0" collapsed="false">
      <c r="A288" s="9" t="s">
        <v>442</v>
      </c>
      <c r="B288" s="9" t="s">
        <v>611</v>
      </c>
      <c r="C288" s="9"/>
      <c r="D288" s="9" t="s">
        <v>612</v>
      </c>
      <c r="E288" s="9" t="s">
        <v>449</v>
      </c>
      <c r="F288" s="3" t="s">
        <v>854</v>
      </c>
      <c r="G288" s="9" t="s">
        <v>445</v>
      </c>
    </row>
    <row r="289" customFormat="false" ht="23.85" hidden="false" customHeight="false" outlineLevel="0" collapsed="false">
      <c r="A289" s="44" t="s">
        <v>40</v>
      </c>
      <c r="B289" s="44" t="s">
        <v>316</v>
      </c>
      <c r="C289" s="44"/>
      <c r="D289" s="44" t="s">
        <v>205</v>
      </c>
      <c r="E289" s="44" t="s">
        <v>472</v>
      </c>
      <c r="F289" s="45" t="s">
        <v>855</v>
      </c>
      <c r="G289" s="44" t="s">
        <v>468</v>
      </c>
    </row>
    <row r="290" customFormat="false" ht="35.05" hidden="false" customHeight="false" outlineLevel="0" collapsed="false">
      <c r="A290" s="9" t="s">
        <v>462</v>
      </c>
      <c r="B290" s="9"/>
      <c r="C290" s="9"/>
      <c r="D290" s="9"/>
      <c r="E290" s="9" t="s">
        <v>856</v>
      </c>
      <c r="F290" s="3" t="s">
        <v>857</v>
      </c>
      <c r="G290" s="9" t="s">
        <v>445</v>
      </c>
    </row>
    <row r="291" customFormat="false" ht="46.25" hidden="false" customHeight="false" outlineLevel="0" collapsed="false">
      <c r="A291" s="9" t="s">
        <v>41</v>
      </c>
      <c r="B291" s="9" t="s">
        <v>474</v>
      </c>
      <c r="C291" s="9"/>
      <c r="D291" s="9" t="s">
        <v>475</v>
      </c>
      <c r="E291" s="9" t="s">
        <v>472</v>
      </c>
      <c r="F291" s="3" t="s">
        <v>858</v>
      </c>
      <c r="G291" s="9" t="s">
        <v>445</v>
      </c>
    </row>
    <row r="292" customFormat="false" ht="35.05" hidden="false" customHeight="false" outlineLevel="0" collapsed="false">
      <c r="A292" s="9" t="s">
        <v>859</v>
      </c>
      <c r="B292" s="9" t="s">
        <v>454</v>
      </c>
      <c r="C292" s="9"/>
      <c r="D292" s="9" t="s">
        <v>455</v>
      </c>
      <c r="E292" s="9" t="s">
        <v>619</v>
      </c>
      <c r="F292" s="3" t="s">
        <v>860</v>
      </c>
      <c r="G292" s="9" t="s">
        <v>445</v>
      </c>
    </row>
    <row r="293" customFormat="false" ht="23.85" hidden="false" customHeight="false" outlineLevel="0" collapsed="false">
      <c r="A293" s="9" t="s">
        <v>39</v>
      </c>
      <c r="B293" s="9" t="s">
        <v>271</v>
      </c>
      <c r="C293" s="9"/>
      <c r="D293" s="9" t="s">
        <v>199</v>
      </c>
      <c r="E293" s="9" t="s">
        <v>449</v>
      </c>
      <c r="F293" s="3" t="s">
        <v>861</v>
      </c>
      <c r="G293" s="9" t="s">
        <v>445</v>
      </c>
    </row>
    <row r="294" customFormat="false" ht="35.05" hidden="false" customHeight="false" outlineLevel="0" collapsed="false">
      <c r="A294" s="9" t="s">
        <v>40</v>
      </c>
      <c r="B294" s="9" t="s">
        <v>279</v>
      </c>
      <c r="C294" s="9"/>
      <c r="D294" s="9" t="s">
        <v>190</v>
      </c>
      <c r="E294" s="9" t="s">
        <v>449</v>
      </c>
      <c r="F294" s="3" t="s">
        <v>862</v>
      </c>
      <c r="G294" s="9" t="s">
        <v>445</v>
      </c>
    </row>
    <row r="295" customFormat="false" ht="68.65" hidden="false" customHeight="false" outlineLevel="0" collapsed="false">
      <c r="A295" s="9" t="s">
        <v>462</v>
      </c>
      <c r="B295" s="9" t="s">
        <v>251</v>
      </c>
      <c r="C295" s="9"/>
      <c r="D295" s="9" t="s">
        <v>184</v>
      </c>
      <c r="E295" s="9" t="s">
        <v>449</v>
      </c>
      <c r="F295" s="3" t="s">
        <v>863</v>
      </c>
      <c r="G295" s="9" t="s">
        <v>445</v>
      </c>
    </row>
    <row r="296" customFormat="false" ht="35.05" hidden="false" customHeight="false" outlineLevel="0" collapsed="false">
      <c r="A296" s="9" t="s">
        <v>442</v>
      </c>
      <c r="B296" s="9" t="s">
        <v>527</v>
      </c>
      <c r="C296" s="9"/>
      <c r="D296" s="9" t="s">
        <v>528</v>
      </c>
      <c r="E296" s="9" t="s">
        <v>449</v>
      </c>
      <c r="F296" s="3" t="s">
        <v>864</v>
      </c>
      <c r="G296" s="9" t="s">
        <v>445</v>
      </c>
    </row>
    <row r="297" customFormat="false" ht="79.85" hidden="false" customHeight="false" outlineLevel="0" collapsed="false">
      <c r="A297" s="9" t="s">
        <v>451</v>
      </c>
      <c r="B297" s="9" t="s">
        <v>505</v>
      </c>
      <c r="C297" s="9"/>
      <c r="D297" s="9" t="s">
        <v>506</v>
      </c>
      <c r="E297" s="9" t="s">
        <v>449</v>
      </c>
      <c r="F297" s="3" t="s">
        <v>865</v>
      </c>
      <c r="G297" s="9" t="s">
        <v>445</v>
      </c>
    </row>
    <row r="298" customFormat="false" ht="91" hidden="false" customHeight="false" outlineLevel="0" collapsed="false">
      <c r="A298" s="9" t="s">
        <v>40</v>
      </c>
      <c r="B298" s="9" t="s">
        <v>288</v>
      </c>
      <c r="C298" s="9"/>
      <c r="D298" s="9" t="s">
        <v>212</v>
      </c>
      <c r="E298" s="9" t="s">
        <v>449</v>
      </c>
      <c r="F298" s="3" t="s">
        <v>866</v>
      </c>
      <c r="G298" s="9" t="s">
        <v>445</v>
      </c>
    </row>
    <row r="299" customFormat="false" ht="79.85" hidden="false" customHeight="false" outlineLevel="0" collapsed="false">
      <c r="A299" s="9" t="s">
        <v>553</v>
      </c>
      <c r="B299" s="9" t="s">
        <v>685</v>
      </c>
      <c r="C299" s="9"/>
      <c r="D299" s="9" t="s">
        <v>686</v>
      </c>
      <c r="E299" s="9" t="s">
        <v>449</v>
      </c>
      <c r="F299" s="3" t="s">
        <v>867</v>
      </c>
      <c r="G299" s="9" t="s">
        <v>445</v>
      </c>
    </row>
    <row r="300" customFormat="false" ht="23.85" hidden="false" customHeight="false" outlineLevel="0" collapsed="false">
      <c r="A300" s="44" t="s">
        <v>442</v>
      </c>
      <c r="B300" s="44" t="s">
        <v>257</v>
      </c>
      <c r="C300" s="44"/>
      <c r="D300" s="44" t="s">
        <v>209</v>
      </c>
      <c r="E300" s="44" t="s">
        <v>472</v>
      </c>
      <c r="F300" s="45" t="s">
        <v>868</v>
      </c>
      <c r="G300" s="44" t="s">
        <v>468</v>
      </c>
    </row>
    <row r="301" customFormat="false" ht="15" hidden="false" customHeight="false" outlineLevel="0" collapsed="false">
      <c r="A301" s="9" t="s">
        <v>514</v>
      </c>
      <c r="B301" s="9" t="s">
        <v>247</v>
      </c>
      <c r="C301" s="9"/>
      <c r="D301" s="9" t="s">
        <v>162</v>
      </c>
      <c r="E301" s="9" t="s">
        <v>449</v>
      </c>
      <c r="F301" s="3" t="s">
        <v>869</v>
      </c>
      <c r="G301" s="9" t="s">
        <v>445</v>
      </c>
    </row>
    <row r="302" customFormat="false" ht="68.65" hidden="false" customHeight="false" outlineLevel="0" collapsed="false">
      <c r="A302" s="9" t="s">
        <v>39</v>
      </c>
      <c r="B302" s="9" t="s">
        <v>527</v>
      </c>
      <c r="C302" s="9"/>
      <c r="D302" s="9" t="s">
        <v>528</v>
      </c>
      <c r="E302" s="9" t="s">
        <v>449</v>
      </c>
      <c r="F302" s="3" t="s">
        <v>870</v>
      </c>
      <c r="G302" s="9" t="s">
        <v>445</v>
      </c>
    </row>
    <row r="303" customFormat="false" ht="23.85" hidden="false" customHeight="false" outlineLevel="0" collapsed="false">
      <c r="A303" s="9" t="s">
        <v>40</v>
      </c>
      <c r="B303" s="9" t="s">
        <v>315</v>
      </c>
      <c r="C303" s="9"/>
      <c r="D303" s="9" t="s">
        <v>222</v>
      </c>
      <c r="E303" s="9" t="s">
        <v>449</v>
      </c>
      <c r="F303" s="3" t="s">
        <v>871</v>
      </c>
      <c r="G303" s="9" t="s">
        <v>445</v>
      </c>
    </row>
    <row r="304" customFormat="false" ht="15" hidden="false" customHeight="false" outlineLevel="0" collapsed="false">
      <c r="A304" s="9" t="s">
        <v>716</v>
      </c>
      <c r="B304" s="9" t="s">
        <v>261</v>
      </c>
      <c r="C304" s="9"/>
      <c r="D304" s="9" t="s">
        <v>166</v>
      </c>
      <c r="E304" s="9" t="s">
        <v>449</v>
      </c>
      <c r="F304" s="3" t="s">
        <v>872</v>
      </c>
      <c r="G304" s="9" t="s">
        <v>445</v>
      </c>
    </row>
    <row r="305" customFormat="false" ht="79.85" hidden="false" customHeight="false" outlineLevel="0" collapsed="false">
      <c r="A305" s="44" t="s">
        <v>41</v>
      </c>
      <c r="B305" s="44" t="s">
        <v>258</v>
      </c>
      <c r="C305" s="44"/>
      <c r="D305" s="44" t="s">
        <v>176</v>
      </c>
      <c r="E305" s="44" t="s">
        <v>472</v>
      </c>
      <c r="F305" s="45" t="s">
        <v>873</v>
      </c>
      <c r="G305" s="44" t="s">
        <v>468</v>
      </c>
    </row>
    <row r="306" customFormat="false" ht="15" hidden="false" customHeight="false" outlineLevel="0" collapsed="false">
      <c r="A306" s="9" t="s">
        <v>39</v>
      </c>
      <c r="B306" s="9" t="s">
        <v>685</v>
      </c>
      <c r="C306" s="9"/>
      <c r="D306" s="9" t="s">
        <v>686</v>
      </c>
      <c r="E306" s="9" t="s">
        <v>443</v>
      </c>
      <c r="F306" s="3" t="s">
        <v>874</v>
      </c>
      <c r="G306" s="9" t="s">
        <v>445</v>
      </c>
    </row>
    <row r="307" customFormat="false" ht="23.85" hidden="false" customHeight="false" outlineLevel="0" collapsed="false">
      <c r="A307" s="9" t="s">
        <v>40</v>
      </c>
      <c r="B307" s="9" t="s">
        <v>825</v>
      </c>
      <c r="C307" s="9"/>
      <c r="D307" s="9" t="s">
        <v>826</v>
      </c>
      <c r="E307" s="9" t="s">
        <v>449</v>
      </c>
      <c r="F307" s="3" t="s">
        <v>875</v>
      </c>
      <c r="G307" s="9" t="s">
        <v>445</v>
      </c>
    </row>
    <row r="308" customFormat="false" ht="23.85" hidden="false" customHeight="false" outlineLevel="0" collapsed="false">
      <c r="A308" s="9" t="s">
        <v>442</v>
      </c>
      <c r="B308" s="9" t="s">
        <v>570</v>
      </c>
      <c r="C308" s="9"/>
      <c r="D308" s="9" t="s">
        <v>571</v>
      </c>
      <c r="E308" s="9" t="s">
        <v>472</v>
      </c>
      <c r="F308" s="3" t="s">
        <v>876</v>
      </c>
      <c r="G308" s="9" t="s">
        <v>445</v>
      </c>
    </row>
    <row r="309" customFormat="false" ht="15" hidden="false" customHeight="false" outlineLevel="0" collapsed="false">
      <c r="A309" s="44" t="s">
        <v>40</v>
      </c>
      <c r="B309" s="44" t="s">
        <v>251</v>
      </c>
      <c r="C309" s="44"/>
      <c r="D309" s="44" t="s">
        <v>184</v>
      </c>
      <c r="E309" s="44" t="s">
        <v>466</v>
      </c>
      <c r="F309" s="45" t="s">
        <v>877</v>
      </c>
      <c r="G309" s="44" t="s">
        <v>468</v>
      </c>
    </row>
    <row r="310" customFormat="false" ht="46.25" hidden="false" customHeight="false" outlineLevel="0" collapsed="false">
      <c r="A310" s="44" t="s">
        <v>40</v>
      </c>
      <c r="B310" s="44" t="s">
        <v>290</v>
      </c>
      <c r="C310" s="44"/>
      <c r="D310" s="44" t="s">
        <v>189</v>
      </c>
      <c r="E310" s="44" t="s">
        <v>472</v>
      </c>
      <c r="F310" s="45" t="s">
        <v>878</v>
      </c>
      <c r="G310" s="44" t="s">
        <v>468</v>
      </c>
    </row>
    <row r="311" customFormat="false" ht="15" hidden="false" customHeight="false" outlineLevel="0" collapsed="false">
      <c r="A311" s="9" t="s">
        <v>716</v>
      </c>
      <c r="B311" s="9" t="s">
        <v>280</v>
      </c>
      <c r="C311" s="9"/>
      <c r="D311" s="9" t="s">
        <v>219</v>
      </c>
      <c r="E311" s="9" t="s">
        <v>449</v>
      </c>
      <c r="F311" s="3" t="s">
        <v>879</v>
      </c>
      <c r="G311" s="9" t="s">
        <v>445</v>
      </c>
    </row>
    <row r="312" customFormat="false" ht="23.85" hidden="false" customHeight="false" outlineLevel="0" collapsed="false">
      <c r="A312" s="9" t="s">
        <v>40</v>
      </c>
      <c r="B312" s="9" t="s">
        <v>527</v>
      </c>
      <c r="C312" s="9"/>
      <c r="D312" s="9" t="s">
        <v>528</v>
      </c>
      <c r="E312" s="9" t="s">
        <v>449</v>
      </c>
      <c r="F312" s="3" t="s">
        <v>880</v>
      </c>
      <c r="G312" s="9" t="s">
        <v>445</v>
      </c>
    </row>
    <row r="313" customFormat="false" ht="35.05" hidden="false" customHeight="false" outlineLevel="0" collapsed="false">
      <c r="A313" s="9" t="s">
        <v>39</v>
      </c>
      <c r="B313" s="9" t="s">
        <v>496</v>
      </c>
      <c r="C313" s="9"/>
      <c r="D313" s="9" t="s">
        <v>497</v>
      </c>
      <c r="E313" s="9" t="s">
        <v>498</v>
      </c>
      <c r="F313" s="3" t="s">
        <v>881</v>
      </c>
      <c r="G313" s="9" t="s">
        <v>445</v>
      </c>
    </row>
    <row r="314" customFormat="false" ht="23.85" hidden="false" customHeight="false" outlineLevel="0" collapsed="false">
      <c r="A314" s="44" t="s">
        <v>442</v>
      </c>
      <c r="B314" s="44" t="s">
        <v>251</v>
      </c>
      <c r="C314" s="44"/>
      <c r="D314" s="44" t="s">
        <v>184</v>
      </c>
      <c r="E314" s="44" t="s">
        <v>472</v>
      </c>
      <c r="F314" s="45" t="s">
        <v>882</v>
      </c>
      <c r="G314" s="44" t="s">
        <v>468</v>
      </c>
    </row>
    <row r="315" customFormat="false" ht="23.85" hidden="false" customHeight="false" outlineLevel="0" collapsed="false">
      <c r="A315" s="9" t="s">
        <v>453</v>
      </c>
      <c r="B315" s="9" t="s">
        <v>549</v>
      </c>
      <c r="C315" s="9"/>
      <c r="D315" s="9" t="s">
        <v>550</v>
      </c>
      <c r="E315" s="9" t="s">
        <v>472</v>
      </c>
      <c r="F315" s="3" t="s">
        <v>883</v>
      </c>
      <c r="G315" s="9" t="s">
        <v>445</v>
      </c>
    </row>
    <row r="316" customFormat="false" ht="15" hidden="false" customHeight="false" outlineLevel="0" collapsed="false">
      <c r="A316" s="9" t="s">
        <v>41</v>
      </c>
      <c r="B316" s="9" t="s">
        <v>537</v>
      </c>
      <c r="C316" s="9"/>
      <c r="D316" s="9" t="s">
        <v>538</v>
      </c>
      <c r="E316" s="9" t="s">
        <v>619</v>
      </c>
      <c r="F316" s="3" t="s">
        <v>884</v>
      </c>
      <c r="G316" s="9" t="s">
        <v>445</v>
      </c>
    </row>
    <row r="317" customFormat="false" ht="15" hidden="false" customHeight="false" outlineLevel="0" collapsed="false">
      <c r="A317" s="9" t="s">
        <v>39</v>
      </c>
      <c r="B317" s="9" t="s">
        <v>315</v>
      </c>
      <c r="C317" s="9"/>
      <c r="D317" s="9" t="s">
        <v>222</v>
      </c>
      <c r="E317" s="9" t="s">
        <v>449</v>
      </c>
      <c r="F317" s="3" t="s">
        <v>885</v>
      </c>
      <c r="G317" s="9" t="s">
        <v>445</v>
      </c>
    </row>
    <row r="318" customFormat="false" ht="15" hidden="false" customHeight="false" outlineLevel="0" collapsed="false">
      <c r="A318" s="9" t="s">
        <v>716</v>
      </c>
      <c r="B318" s="9" t="s">
        <v>677</v>
      </c>
      <c r="C318" s="9"/>
      <c r="D318" s="9" t="s">
        <v>678</v>
      </c>
      <c r="E318" s="9" t="s">
        <v>449</v>
      </c>
      <c r="F318" s="3" t="s">
        <v>886</v>
      </c>
      <c r="G318" s="9" t="s">
        <v>445</v>
      </c>
    </row>
    <row r="319" customFormat="false" ht="79.85" hidden="false" customHeight="false" outlineLevel="0" collapsed="false">
      <c r="A319" s="9" t="s">
        <v>41</v>
      </c>
      <c r="B319" s="9" t="s">
        <v>288</v>
      </c>
      <c r="C319" s="9"/>
      <c r="D319" s="9" t="s">
        <v>212</v>
      </c>
      <c r="E319" s="9" t="s">
        <v>449</v>
      </c>
      <c r="F319" s="3" t="s">
        <v>887</v>
      </c>
      <c r="G319" s="9" t="s">
        <v>445</v>
      </c>
    </row>
    <row r="320" customFormat="false" ht="35.05" hidden="false" customHeight="false" outlineLevel="0" collapsed="false">
      <c r="A320" s="9" t="s">
        <v>514</v>
      </c>
      <c r="B320" s="9" t="s">
        <v>254</v>
      </c>
      <c r="C320" s="9"/>
      <c r="D320" s="9" t="s">
        <v>181</v>
      </c>
      <c r="E320" s="9" t="s">
        <v>449</v>
      </c>
      <c r="F320" s="3" t="s">
        <v>888</v>
      </c>
      <c r="G320" s="9" t="s">
        <v>445</v>
      </c>
    </row>
    <row r="321" customFormat="false" ht="35.05" hidden="false" customHeight="false" outlineLevel="0" collapsed="false">
      <c r="A321" s="9" t="s">
        <v>442</v>
      </c>
      <c r="B321" s="9" t="s">
        <v>463</v>
      </c>
      <c r="C321" s="9"/>
      <c r="D321" s="9" t="s">
        <v>464</v>
      </c>
      <c r="E321" s="9" t="s">
        <v>449</v>
      </c>
      <c r="F321" s="3" t="s">
        <v>889</v>
      </c>
      <c r="G321" s="9" t="s">
        <v>445</v>
      </c>
    </row>
    <row r="322" customFormat="false" ht="23.85" hidden="false" customHeight="false" outlineLevel="0" collapsed="false">
      <c r="A322" s="9" t="s">
        <v>451</v>
      </c>
      <c r="B322" s="9" t="s">
        <v>777</v>
      </c>
      <c r="C322" s="9"/>
      <c r="D322" s="9" t="s">
        <v>778</v>
      </c>
      <c r="E322" s="9" t="s">
        <v>449</v>
      </c>
      <c r="F322" s="3" t="s">
        <v>890</v>
      </c>
      <c r="G322" s="9" t="s">
        <v>445</v>
      </c>
    </row>
    <row r="323" customFormat="false" ht="102.2" hidden="false" customHeight="false" outlineLevel="0" collapsed="false">
      <c r="A323" s="9" t="s">
        <v>41</v>
      </c>
      <c r="B323" s="9" t="s">
        <v>101</v>
      </c>
      <c r="C323" s="9"/>
      <c r="D323" s="9" t="s">
        <v>155</v>
      </c>
      <c r="E323" s="9" t="s">
        <v>443</v>
      </c>
      <c r="F323" s="3" t="s">
        <v>891</v>
      </c>
      <c r="G323" s="9" t="s">
        <v>445</v>
      </c>
    </row>
    <row r="324" customFormat="false" ht="23.85" hidden="false" customHeight="false" outlineLevel="0" collapsed="false">
      <c r="A324" s="9" t="s">
        <v>462</v>
      </c>
      <c r="B324" s="9" t="s">
        <v>271</v>
      </c>
      <c r="C324" s="9"/>
      <c r="D324" s="9" t="s">
        <v>199</v>
      </c>
      <c r="E324" s="9" t="s">
        <v>449</v>
      </c>
      <c r="F324" s="3" t="s">
        <v>892</v>
      </c>
      <c r="G324" s="9" t="s">
        <v>445</v>
      </c>
    </row>
    <row r="325" customFormat="false" ht="68.65" hidden="false" customHeight="false" outlineLevel="0" collapsed="false">
      <c r="A325" s="9" t="s">
        <v>451</v>
      </c>
      <c r="B325" s="9" t="s">
        <v>288</v>
      </c>
      <c r="C325" s="9"/>
      <c r="D325" s="9" t="s">
        <v>212</v>
      </c>
      <c r="E325" s="9" t="s">
        <v>449</v>
      </c>
      <c r="F325" s="3" t="s">
        <v>893</v>
      </c>
      <c r="G325" s="9" t="s">
        <v>445</v>
      </c>
    </row>
    <row r="326" customFormat="false" ht="46.25" hidden="false" customHeight="false" outlineLevel="0" collapsed="false">
      <c r="A326" s="44" t="s">
        <v>451</v>
      </c>
      <c r="B326" s="44" t="s">
        <v>261</v>
      </c>
      <c r="C326" s="44"/>
      <c r="D326" s="44" t="s">
        <v>166</v>
      </c>
      <c r="E326" s="44" t="s">
        <v>498</v>
      </c>
      <c r="F326" s="45" t="s">
        <v>894</v>
      </c>
      <c r="G326" s="44" t="s">
        <v>468</v>
      </c>
    </row>
    <row r="327" customFormat="false" ht="15" hidden="false" customHeight="false" outlineLevel="0" collapsed="false">
      <c r="A327" s="9" t="s">
        <v>442</v>
      </c>
      <c r="B327" s="9" t="s">
        <v>327</v>
      </c>
      <c r="C327" s="9"/>
      <c r="D327" s="9" t="s">
        <v>206</v>
      </c>
      <c r="E327" s="9" t="s">
        <v>449</v>
      </c>
      <c r="F327" s="3" t="s">
        <v>895</v>
      </c>
      <c r="G327" s="9" t="s">
        <v>445</v>
      </c>
    </row>
    <row r="328" customFormat="false" ht="91" hidden="false" customHeight="false" outlineLevel="0" collapsed="false">
      <c r="A328" s="9" t="s">
        <v>41</v>
      </c>
      <c r="B328" s="9" t="s">
        <v>346</v>
      </c>
      <c r="C328" s="9"/>
      <c r="D328" s="9" t="s">
        <v>164</v>
      </c>
      <c r="E328" s="9" t="s">
        <v>449</v>
      </c>
      <c r="F328" s="3" t="s">
        <v>896</v>
      </c>
      <c r="G328" s="9" t="s">
        <v>445</v>
      </c>
    </row>
    <row r="329" customFormat="false" ht="23.85" hidden="false" customHeight="false" outlineLevel="0" collapsed="false">
      <c r="A329" s="44" t="s">
        <v>41</v>
      </c>
      <c r="B329" s="44" t="s">
        <v>271</v>
      </c>
      <c r="C329" s="44"/>
      <c r="D329" s="44" t="s">
        <v>199</v>
      </c>
      <c r="E329" s="44" t="s">
        <v>472</v>
      </c>
      <c r="F329" s="45" t="s">
        <v>897</v>
      </c>
      <c r="G329" s="44" t="s">
        <v>468</v>
      </c>
    </row>
    <row r="330" customFormat="false" ht="23.85" hidden="false" customHeight="false" outlineLevel="0" collapsed="false">
      <c r="A330" s="9" t="s">
        <v>446</v>
      </c>
      <c r="B330" s="9" t="s">
        <v>777</v>
      </c>
      <c r="C330" s="9"/>
      <c r="D330" s="9" t="s">
        <v>778</v>
      </c>
      <c r="E330" s="9" t="s">
        <v>449</v>
      </c>
      <c r="F330" s="3" t="s">
        <v>898</v>
      </c>
      <c r="G330" s="9" t="s">
        <v>445</v>
      </c>
    </row>
    <row r="331" customFormat="false" ht="46.25" hidden="false" customHeight="false" outlineLevel="0" collapsed="false">
      <c r="A331" s="44" t="s">
        <v>899</v>
      </c>
      <c r="B331" s="44" t="s">
        <v>258</v>
      </c>
      <c r="C331" s="44"/>
      <c r="D331" s="44" t="s">
        <v>176</v>
      </c>
      <c r="E331" s="44" t="s">
        <v>498</v>
      </c>
      <c r="F331" s="45" t="s">
        <v>900</v>
      </c>
      <c r="G331" s="44" t="s">
        <v>468</v>
      </c>
    </row>
    <row r="332" customFormat="false" ht="35.05" hidden="false" customHeight="false" outlineLevel="0" collapsed="false">
      <c r="A332" s="44" t="s">
        <v>41</v>
      </c>
      <c r="B332" s="44" t="s">
        <v>300</v>
      </c>
      <c r="C332" s="44"/>
      <c r="D332" s="44" t="s">
        <v>161</v>
      </c>
      <c r="E332" s="44" t="s">
        <v>901</v>
      </c>
      <c r="F332" s="45" t="s">
        <v>902</v>
      </c>
      <c r="G332" s="44" t="s">
        <v>468</v>
      </c>
    </row>
    <row r="333" customFormat="false" ht="35.05" hidden="false" customHeight="false" outlineLevel="0" collapsed="false">
      <c r="A333" s="44" t="s">
        <v>442</v>
      </c>
      <c r="B333" s="44" t="s">
        <v>258</v>
      </c>
      <c r="C333" s="44"/>
      <c r="D333" s="44" t="s">
        <v>176</v>
      </c>
      <c r="E333" s="44" t="s">
        <v>498</v>
      </c>
      <c r="F333" s="45" t="s">
        <v>903</v>
      </c>
      <c r="G333" s="44" t="s">
        <v>468</v>
      </c>
    </row>
    <row r="334" customFormat="false" ht="35.05" hidden="false" customHeight="false" outlineLevel="0" collapsed="false">
      <c r="A334" s="9" t="s">
        <v>39</v>
      </c>
      <c r="B334" s="9" t="s">
        <v>480</v>
      </c>
      <c r="C334" s="9"/>
      <c r="D334" s="9" t="s">
        <v>481</v>
      </c>
      <c r="E334" s="9" t="s">
        <v>443</v>
      </c>
      <c r="F334" s="3" t="s">
        <v>904</v>
      </c>
      <c r="G334" s="9" t="s">
        <v>445</v>
      </c>
    </row>
    <row r="335" customFormat="false" ht="46.25" hidden="false" customHeight="false" outlineLevel="0" collapsed="false">
      <c r="A335" s="9" t="s">
        <v>41</v>
      </c>
      <c r="B335" s="9" t="s">
        <v>343</v>
      </c>
      <c r="C335" s="9"/>
      <c r="D335" s="9" t="s">
        <v>192</v>
      </c>
      <c r="E335" s="9" t="s">
        <v>449</v>
      </c>
      <c r="F335" s="3" t="s">
        <v>905</v>
      </c>
      <c r="G335" s="9" t="s">
        <v>445</v>
      </c>
    </row>
    <row r="336" customFormat="false" ht="35.05" hidden="false" customHeight="false" outlineLevel="0" collapsed="false">
      <c r="A336" s="9" t="s">
        <v>41</v>
      </c>
      <c r="B336" s="9" t="s">
        <v>825</v>
      </c>
      <c r="C336" s="9"/>
      <c r="D336" s="9" t="s">
        <v>826</v>
      </c>
      <c r="E336" s="9" t="s">
        <v>449</v>
      </c>
      <c r="F336" s="3" t="s">
        <v>906</v>
      </c>
      <c r="G336" s="9" t="s">
        <v>445</v>
      </c>
    </row>
    <row r="337" customFormat="false" ht="35.05" hidden="false" customHeight="false" outlineLevel="0" collapsed="false">
      <c r="A337" s="9" t="s">
        <v>41</v>
      </c>
      <c r="B337" s="9" t="s">
        <v>483</v>
      </c>
      <c r="C337" s="9"/>
      <c r="D337" s="9" t="s">
        <v>484</v>
      </c>
      <c r="E337" s="9" t="s">
        <v>472</v>
      </c>
      <c r="F337" s="3" t="s">
        <v>907</v>
      </c>
      <c r="G337" s="9" t="s">
        <v>445</v>
      </c>
    </row>
    <row r="338" customFormat="false" ht="113.4" hidden="false" customHeight="false" outlineLevel="0" collapsed="false">
      <c r="A338" s="9" t="s">
        <v>553</v>
      </c>
      <c r="B338" s="9" t="s">
        <v>346</v>
      </c>
      <c r="C338" s="9"/>
      <c r="D338" s="9" t="s">
        <v>164</v>
      </c>
      <c r="E338" s="9" t="s">
        <v>449</v>
      </c>
      <c r="F338" s="3" t="s">
        <v>908</v>
      </c>
      <c r="G338" s="9" t="s">
        <v>445</v>
      </c>
    </row>
    <row r="339" customFormat="false" ht="15" hidden="false" customHeight="false" outlineLevel="0" collapsed="false">
      <c r="A339" s="44" t="s">
        <v>626</v>
      </c>
      <c r="B339" s="44"/>
      <c r="C339" s="44" t="s">
        <v>349</v>
      </c>
      <c r="D339" s="44"/>
      <c r="E339" s="44" t="s">
        <v>472</v>
      </c>
      <c r="F339" s="45" t="s">
        <v>909</v>
      </c>
      <c r="G339" s="44" t="s">
        <v>910</v>
      </c>
    </row>
    <row r="340" customFormat="false" ht="68.65" hidden="false" customHeight="false" outlineLevel="0" collapsed="false">
      <c r="A340" s="9" t="s">
        <v>39</v>
      </c>
      <c r="B340" s="9" t="s">
        <v>251</v>
      </c>
      <c r="C340" s="9"/>
      <c r="D340" s="9" t="s">
        <v>184</v>
      </c>
      <c r="E340" s="9" t="s">
        <v>449</v>
      </c>
      <c r="F340" s="3" t="s">
        <v>911</v>
      </c>
      <c r="G340" s="9" t="s">
        <v>445</v>
      </c>
    </row>
    <row r="341" customFormat="false" ht="23.85" hidden="false" customHeight="false" outlineLevel="0" collapsed="false">
      <c r="A341" s="9" t="s">
        <v>41</v>
      </c>
      <c r="B341" s="9" t="s">
        <v>623</v>
      </c>
      <c r="C341" s="9"/>
      <c r="D341" s="9" t="s">
        <v>624</v>
      </c>
      <c r="E341" s="9" t="s">
        <v>449</v>
      </c>
      <c r="F341" s="3" t="s">
        <v>912</v>
      </c>
      <c r="G341" s="9" t="s">
        <v>445</v>
      </c>
    </row>
    <row r="342" customFormat="false" ht="23.85" hidden="false" customHeight="false" outlineLevel="0" collapsed="false">
      <c r="A342" s="9" t="s">
        <v>438</v>
      </c>
      <c r="B342" s="9" t="s">
        <v>477</v>
      </c>
      <c r="C342" s="9"/>
      <c r="D342" s="9" t="s">
        <v>478</v>
      </c>
      <c r="E342" s="9" t="s">
        <v>449</v>
      </c>
      <c r="F342" s="3" t="s">
        <v>913</v>
      </c>
      <c r="G342" s="9" t="s">
        <v>445</v>
      </c>
    </row>
    <row r="343" customFormat="false" ht="23.85" hidden="false" customHeight="false" outlineLevel="0" collapsed="false">
      <c r="A343" s="9" t="s">
        <v>716</v>
      </c>
      <c r="B343" s="9" t="s">
        <v>333</v>
      </c>
      <c r="C343" s="9"/>
      <c r="D343" s="9" t="s">
        <v>207</v>
      </c>
      <c r="E343" s="9" t="s">
        <v>449</v>
      </c>
      <c r="F343" s="3" t="s">
        <v>914</v>
      </c>
      <c r="G343" s="9" t="s">
        <v>445</v>
      </c>
    </row>
    <row r="344" customFormat="false" ht="15" hidden="false" customHeight="false" outlineLevel="0" collapsed="false">
      <c r="A344" s="9" t="s">
        <v>41</v>
      </c>
      <c r="B344" s="9" t="s">
        <v>623</v>
      </c>
      <c r="C344" s="9"/>
      <c r="D344" s="9" t="s">
        <v>624</v>
      </c>
      <c r="E344" s="9" t="s">
        <v>466</v>
      </c>
      <c r="F344" s="3" t="s">
        <v>915</v>
      </c>
      <c r="G344" s="9" t="s">
        <v>445</v>
      </c>
    </row>
    <row r="345" customFormat="false" ht="23.85" hidden="false" customHeight="false" outlineLevel="0" collapsed="false">
      <c r="A345" s="9" t="s">
        <v>446</v>
      </c>
      <c r="B345" s="9" t="s">
        <v>575</v>
      </c>
      <c r="C345" s="9"/>
      <c r="D345" s="9" t="s">
        <v>576</v>
      </c>
      <c r="E345" s="9" t="s">
        <v>472</v>
      </c>
      <c r="F345" s="3" t="s">
        <v>916</v>
      </c>
      <c r="G345" s="9" t="s">
        <v>445</v>
      </c>
    </row>
    <row r="346" customFormat="false" ht="46.25" hidden="false" customHeight="false" outlineLevel="0" collapsed="false">
      <c r="A346" s="9" t="s">
        <v>446</v>
      </c>
      <c r="B346" s="9" t="s">
        <v>522</v>
      </c>
      <c r="C346" s="9"/>
      <c r="D346" s="9" t="s">
        <v>523</v>
      </c>
      <c r="E346" s="9" t="s">
        <v>449</v>
      </c>
      <c r="F346" s="3" t="s">
        <v>917</v>
      </c>
      <c r="G346" s="9" t="s">
        <v>445</v>
      </c>
    </row>
    <row r="347" customFormat="false" ht="46.25" hidden="false" customHeight="false" outlineLevel="0" collapsed="false">
      <c r="A347" s="9" t="s">
        <v>40</v>
      </c>
      <c r="B347" s="9" t="s">
        <v>563</v>
      </c>
      <c r="C347" s="9"/>
      <c r="D347" s="9" t="s">
        <v>564</v>
      </c>
      <c r="E347" s="9" t="s">
        <v>498</v>
      </c>
      <c r="F347" s="3" t="s">
        <v>918</v>
      </c>
      <c r="G347" s="9" t="s">
        <v>445</v>
      </c>
    </row>
    <row r="348" customFormat="false" ht="23.85" hidden="false" customHeight="false" outlineLevel="0" collapsed="false">
      <c r="A348" s="44" t="s">
        <v>41</v>
      </c>
      <c r="B348" s="44" t="s">
        <v>264</v>
      </c>
      <c r="C348" s="44"/>
      <c r="D348" s="44" t="s">
        <v>203</v>
      </c>
      <c r="E348" s="44" t="s">
        <v>472</v>
      </c>
      <c r="F348" s="45" t="s">
        <v>919</v>
      </c>
      <c r="G348" s="44" t="s">
        <v>468</v>
      </c>
    </row>
    <row r="349" customFormat="false" ht="23.85" hidden="false" customHeight="false" outlineLevel="0" collapsed="false">
      <c r="A349" s="9" t="s">
        <v>39</v>
      </c>
      <c r="B349" s="9" t="s">
        <v>245</v>
      </c>
      <c r="C349" s="9"/>
      <c r="D349" s="9" t="s">
        <v>204</v>
      </c>
      <c r="E349" s="9" t="s">
        <v>449</v>
      </c>
      <c r="F349" s="3" t="s">
        <v>920</v>
      </c>
      <c r="G349" s="9" t="s">
        <v>445</v>
      </c>
    </row>
    <row r="350" customFormat="false" ht="23.85" hidden="false" customHeight="false" outlineLevel="0" collapsed="false">
      <c r="A350" s="9" t="s">
        <v>41</v>
      </c>
      <c r="B350" s="9" t="s">
        <v>278</v>
      </c>
      <c r="C350" s="9"/>
      <c r="D350" s="9" t="s">
        <v>220</v>
      </c>
      <c r="E350" s="9" t="s">
        <v>449</v>
      </c>
      <c r="F350" s="3" t="s">
        <v>921</v>
      </c>
      <c r="G350" s="9" t="s">
        <v>445</v>
      </c>
    </row>
    <row r="351" customFormat="false" ht="23.85" hidden="false" customHeight="false" outlineLevel="0" collapsed="false">
      <c r="A351" s="9" t="s">
        <v>446</v>
      </c>
      <c r="B351" s="9" t="s">
        <v>315</v>
      </c>
      <c r="C351" s="9"/>
      <c r="D351" s="9" t="s">
        <v>222</v>
      </c>
      <c r="E351" s="9" t="s">
        <v>449</v>
      </c>
      <c r="F351" s="3" t="s">
        <v>922</v>
      </c>
      <c r="G351" s="9" t="s">
        <v>445</v>
      </c>
    </row>
    <row r="352" customFormat="false" ht="35.05" hidden="false" customHeight="false" outlineLevel="0" collapsed="false">
      <c r="A352" s="9" t="s">
        <v>39</v>
      </c>
      <c r="B352" s="9" t="s">
        <v>570</v>
      </c>
      <c r="C352" s="9"/>
      <c r="D352" s="9" t="s">
        <v>571</v>
      </c>
      <c r="E352" s="9" t="s">
        <v>449</v>
      </c>
      <c r="F352" s="3" t="s">
        <v>923</v>
      </c>
      <c r="G352" s="9" t="s">
        <v>445</v>
      </c>
    </row>
    <row r="353" customFormat="false" ht="23.85" hidden="false" customHeight="false" outlineLevel="0" collapsed="false">
      <c r="A353" s="9" t="s">
        <v>438</v>
      </c>
      <c r="B353" s="9"/>
      <c r="C353" s="9"/>
      <c r="D353" s="9"/>
      <c r="E353" s="9" t="s">
        <v>466</v>
      </c>
      <c r="F353" s="3" t="s">
        <v>924</v>
      </c>
      <c r="G353" s="9" t="s">
        <v>445</v>
      </c>
    </row>
    <row r="354" customFormat="false" ht="23.85" hidden="false" customHeight="false" outlineLevel="0" collapsed="false">
      <c r="A354" s="9" t="s">
        <v>442</v>
      </c>
      <c r="B354" s="9" t="s">
        <v>303</v>
      </c>
      <c r="C354" s="9"/>
      <c r="D354" s="9" t="s">
        <v>193</v>
      </c>
      <c r="E354" s="9" t="s">
        <v>449</v>
      </c>
      <c r="F354" s="3" t="s">
        <v>925</v>
      </c>
      <c r="G354" s="9" t="s">
        <v>445</v>
      </c>
    </row>
    <row r="355" customFormat="false" ht="102.2" hidden="false" customHeight="false" outlineLevel="0" collapsed="false">
      <c r="A355" s="9" t="s">
        <v>453</v>
      </c>
      <c r="B355" s="9" t="s">
        <v>346</v>
      </c>
      <c r="C355" s="9"/>
      <c r="D355" s="9" t="s">
        <v>164</v>
      </c>
      <c r="E355" s="9" t="s">
        <v>449</v>
      </c>
      <c r="F355" s="3" t="s">
        <v>926</v>
      </c>
      <c r="G355" s="9" t="s">
        <v>445</v>
      </c>
    </row>
    <row r="356" customFormat="false" ht="23.85" hidden="false" customHeight="false" outlineLevel="0" collapsed="false">
      <c r="A356" s="9" t="s">
        <v>442</v>
      </c>
      <c r="B356" s="9" t="s">
        <v>268</v>
      </c>
      <c r="C356" s="9"/>
      <c r="D356" s="9" t="s">
        <v>198</v>
      </c>
      <c r="E356" s="9" t="s">
        <v>449</v>
      </c>
      <c r="F356" s="3" t="s">
        <v>927</v>
      </c>
      <c r="G356" s="9" t="s">
        <v>445</v>
      </c>
    </row>
    <row r="357" customFormat="false" ht="23.85" hidden="false" customHeight="false" outlineLevel="0" collapsed="false">
      <c r="A357" s="44" t="s">
        <v>40</v>
      </c>
      <c r="B357" s="44" t="s">
        <v>281</v>
      </c>
      <c r="C357" s="44"/>
      <c r="D357" s="44" t="s">
        <v>174</v>
      </c>
      <c r="E357" s="44" t="s">
        <v>472</v>
      </c>
      <c r="F357" s="45" t="s">
        <v>928</v>
      </c>
      <c r="G357" s="44" t="s">
        <v>468</v>
      </c>
    </row>
    <row r="358" customFormat="false" ht="35.05" hidden="false" customHeight="false" outlineLevel="0" collapsed="false">
      <c r="A358" s="9" t="s">
        <v>446</v>
      </c>
      <c r="B358" s="9" t="s">
        <v>277</v>
      </c>
      <c r="C358" s="9"/>
      <c r="D358" s="9" t="s">
        <v>202</v>
      </c>
      <c r="E358" s="9" t="s">
        <v>449</v>
      </c>
      <c r="F358" s="3" t="s">
        <v>929</v>
      </c>
      <c r="G358" s="9" t="s">
        <v>445</v>
      </c>
    </row>
    <row r="359" customFormat="false" ht="102.2" hidden="false" customHeight="false" outlineLevel="0" collapsed="false">
      <c r="A359" s="9" t="s">
        <v>446</v>
      </c>
      <c r="B359" s="9" t="s">
        <v>343</v>
      </c>
      <c r="C359" s="9"/>
      <c r="D359" s="9" t="s">
        <v>192</v>
      </c>
      <c r="E359" s="9" t="s">
        <v>449</v>
      </c>
      <c r="F359" s="3" t="s">
        <v>930</v>
      </c>
      <c r="G359" s="9" t="s">
        <v>445</v>
      </c>
    </row>
    <row r="360" customFormat="false" ht="102.2" hidden="false" customHeight="false" outlineLevel="0" collapsed="false">
      <c r="A360" s="9" t="s">
        <v>41</v>
      </c>
      <c r="B360" s="9" t="s">
        <v>570</v>
      </c>
      <c r="C360" s="9"/>
      <c r="D360" s="9" t="s">
        <v>571</v>
      </c>
      <c r="E360" s="9" t="s">
        <v>449</v>
      </c>
      <c r="F360" s="3" t="s">
        <v>931</v>
      </c>
      <c r="G360" s="9" t="s">
        <v>445</v>
      </c>
    </row>
    <row r="361" customFormat="false" ht="23.85" hidden="false" customHeight="false" outlineLevel="0" collapsed="false">
      <c r="A361" s="44" t="s">
        <v>446</v>
      </c>
      <c r="B361" s="44" t="s">
        <v>261</v>
      </c>
      <c r="C361" s="44"/>
      <c r="D361" s="44" t="s">
        <v>166</v>
      </c>
      <c r="E361" s="44" t="s">
        <v>498</v>
      </c>
      <c r="F361" s="45" t="s">
        <v>932</v>
      </c>
      <c r="G361" s="44" t="s">
        <v>468</v>
      </c>
    </row>
    <row r="362" customFormat="false" ht="57.45" hidden="false" customHeight="false" outlineLevel="0" collapsed="false">
      <c r="A362" s="9" t="s">
        <v>40</v>
      </c>
      <c r="B362" s="9" t="s">
        <v>474</v>
      </c>
      <c r="C362" s="9"/>
      <c r="D362" s="9" t="s">
        <v>475</v>
      </c>
      <c r="E362" s="9" t="s">
        <v>466</v>
      </c>
      <c r="F362" s="3" t="s">
        <v>933</v>
      </c>
      <c r="G362" s="9" t="s">
        <v>445</v>
      </c>
    </row>
    <row r="363" customFormat="false" ht="46.25" hidden="false" customHeight="false" outlineLevel="0" collapsed="false">
      <c r="A363" s="9" t="s">
        <v>41</v>
      </c>
      <c r="B363" s="9" t="s">
        <v>463</v>
      </c>
      <c r="C363" s="9"/>
      <c r="D363" s="9" t="s">
        <v>464</v>
      </c>
      <c r="E363" s="9" t="s">
        <v>449</v>
      </c>
      <c r="F363" s="3" t="s">
        <v>934</v>
      </c>
      <c r="G363" s="9" t="s">
        <v>445</v>
      </c>
    </row>
    <row r="364" customFormat="false" ht="35.05" hidden="false" customHeight="false" outlineLevel="0" collapsed="false">
      <c r="A364" s="44" t="s">
        <v>40</v>
      </c>
      <c r="B364" s="44" t="s">
        <v>347</v>
      </c>
      <c r="C364" s="44"/>
      <c r="D364" s="44" t="s">
        <v>160</v>
      </c>
      <c r="E364" s="44" t="s">
        <v>466</v>
      </c>
      <c r="F364" s="45" t="s">
        <v>935</v>
      </c>
      <c r="G364" s="44" t="s">
        <v>468</v>
      </c>
    </row>
    <row r="365" customFormat="false" ht="46.25" hidden="false" customHeight="false" outlineLevel="0" collapsed="false">
      <c r="A365" s="44" t="s">
        <v>446</v>
      </c>
      <c r="B365" s="44" t="s">
        <v>347</v>
      </c>
      <c r="C365" s="44"/>
      <c r="D365" s="44" t="s">
        <v>160</v>
      </c>
      <c r="E365" s="44" t="s">
        <v>466</v>
      </c>
      <c r="F365" s="45" t="s">
        <v>936</v>
      </c>
      <c r="G365" s="44" t="s">
        <v>468</v>
      </c>
    </row>
    <row r="366" customFormat="false" ht="23.85" hidden="false" customHeight="false" outlineLevel="0" collapsed="false">
      <c r="A366" s="9" t="s">
        <v>438</v>
      </c>
      <c r="B366" s="9" t="s">
        <v>294</v>
      </c>
      <c r="C366" s="9"/>
      <c r="D366" s="9" t="s">
        <v>196</v>
      </c>
      <c r="E366" s="9" t="s">
        <v>449</v>
      </c>
      <c r="F366" s="3" t="s">
        <v>937</v>
      </c>
      <c r="G366" s="9" t="s">
        <v>445</v>
      </c>
    </row>
    <row r="367" customFormat="false" ht="15" hidden="false" customHeight="false" outlineLevel="0" collapsed="false">
      <c r="A367" s="9" t="s">
        <v>751</v>
      </c>
      <c r="B367" s="9" t="s">
        <v>263</v>
      </c>
      <c r="C367" s="9"/>
      <c r="D367" s="9" t="s">
        <v>200</v>
      </c>
      <c r="E367" s="9" t="s">
        <v>449</v>
      </c>
      <c r="F367" s="3" t="s">
        <v>938</v>
      </c>
      <c r="G367" s="9" t="s">
        <v>445</v>
      </c>
    </row>
    <row r="368" customFormat="false" ht="15" hidden="false" customHeight="false" outlineLevel="0" collapsed="false">
      <c r="A368" s="9" t="s">
        <v>446</v>
      </c>
      <c r="B368" s="9" t="s">
        <v>327</v>
      </c>
      <c r="C368" s="9"/>
      <c r="D368" s="9" t="s">
        <v>206</v>
      </c>
      <c r="E368" s="9" t="s">
        <v>449</v>
      </c>
      <c r="F368" s="3" t="s">
        <v>939</v>
      </c>
      <c r="G368" s="9" t="s">
        <v>445</v>
      </c>
    </row>
    <row r="369" customFormat="false" ht="23.85" hidden="false" customHeight="false" outlineLevel="0" collapsed="false">
      <c r="A369" s="44" t="s">
        <v>446</v>
      </c>
      <c r="B369" s="44" t="s">
        <v>283</v>
      </c>
      <c r="C369" s="44"/>
      <c r="D369" s="44" t="s">
        <v>221</v>
      </c>
      <c r="E369" s="44" t="s">
        <v>472</v>
      </c>
      <c r="F369" s="45" t="s">
        <v>940</v>
      </c>
      <c r="G369" s="44" t="s">
        <v>468</v>
      </c>
    </row>
    <row r="370" customFormat="false" ht="46.25" hidden="false" customHeight="false" outlineLevel="0" collapsed="false">
      <c r="A370" s="44" t="s">
        <v>442</v>
      </c>
      <c r="B370" s="44" t="s">
        <v>258</v>
      </c>
      <c r="C370" s="44"/>
      <c r="D370" s="44" t="s">
        <v>176</v>
      </c>
      <c r="E370" s="44" t="s">
        <v>472</v>
      </c>
      <c r="F370" s="45" t="s">
        <v>941</v>
      </c>
      <c r="G370" s="44" t="s">
        <v>468</v>
      </c>
    </row>
    <row r="371" customFormat="false" ht="15" hidden="false" customHeight="false" outlineLevel="0" collapsed="false">
      <c r="A371" s="44" t="s">
        <v>446</v>
      </c>
      <c r="B371" s="44" t="s">
        <v>344</v>
      </c>
      <c r="C371" s="44"/>
      <c r="D371" s="44" t="s">
        <v>171</v>
      </c>
      <c r="E371" s="44" t="s">
        <v>472</v>
      </c>
      <c r="F371" s="45" t="s">
        <v>942</v>
      </c>
      <c r="G371" s="44" t="s">
        <v>468</v>
      </c>
    </row>
    <row r="372" customFormat="false" ht="57.45" hidden="false" customHeight="false" outlineLevel="0" collapsed="false">
      <c r="A372" s="9" t="s">
        <v>462</v>
      </c>
      <c r="B372" s="9" t="s">
        <v>457</v>
      </c>
      <c r="C372" s="9"/>
      <c r="D372" s="9" t="s">
        <v>458</v>
      </c>
      <c r="E372" s="9" t="s">
        <v>449</v>
      </c>
      <c r="F372" s="3" t="s">
        <v>943</v>
      </c>
      <c r="G372" s="9" t="s">
        <v>445</v>
      </c>
    </row>
    <row r="373" customFormat="false" ht="57.45" hidden="false" customHeight="false" outlineLevel="0" collapsed="false">
      <c r="A373" s="9" t="s">
        <v>41</v>
      </c>
      <c r="B373" s="9" t="s">
        <v>276</v>
      </c>
      <c r="C373" s="9"/>
      <c r="D373" s="9" t="s">
        <v>180</v>
      </c>
      <c r="E373" s="9" t="s">
        <v>449</v>
      </c>
      <c r="F373" s="3" t="s">
        <v>944</v>
      </c>
      <c r="G373" s="9" t="s">
        <v>445</v>
      </c>
    </row>
    <row r="374" customFormat="false" ht="23.85" hidden="false" customHeight="false" outlineLevel="0" collapsed="false">
      <c r="A374" s="9" t="s">
        <v>39</v>
      </c>
      <c r="B374" s="9" t="s">
        <v>101</v>
      </c>
      <c r="C374" s="9"/>
      <c r="D374" s="9" t="s">
        <v>155</v>
      </c>
      <c r="E374" s="9" t="s">
        <v>443</v>
      </c>
      <c r="F374" s="3" t="s">
        <v>945</v>
      </c>
      <c r="G374" s="9" t="s">
        <v>445</v>
      </c>
    </row>
    <row r="375" customFormat="false" ht="23.85" hidden="false" customHeight="false" outlineLevel="0" collapsed="false">
      <c r="A375" s="44" t="s">
        <v>442</v>
      </c>
      <c r="B375" s="44" t="s">
        <v>315</v>
      </c>
      <c r="C375" s="44"/>
      <c r="D375" s="44" t="s">
        <v>222</v>
      </c>
      <c r="E375" s="44" t="s">
        <v>472</v>
      </c>
      <c r="F375" s="45" t="s">
        <v>946</v>
      </c>
      <c r="G375" s="44" t="s">
        <v>468</v>
      </c>
    </row>
    <row r="376" customFormat="false" ht="35.05" hidden="false" customHeight="false" outlineLevel="0" collapsed="false">
      <c r="A376" s="9" t="s">
        <v>451</v>
      </c>
      <c r="B376" s="9" t="s">
        <v>480</v>
      </c>
      <c r="C376" s="9"/>
      <c r="D376" s="9" t="s">
        <v>481</v>
      </c>
      <c r="E376" s="9" t="s">
        <v>443</v>
      </c>
      <c r="F376" s="3" t="s">
        <v>947</v>
      </c>
      <c r="G376" s="9" t="s">
        <v>445</v>
      </c>
    </row>
    <row r="377" customFormat="false" ht="23.85" hidden="false" customHeight="false" outlineLevel="0" collapsed="false">
      <c r="A377" s="44" t="s">
        <v>451</v>
      </c>
      <c r="B377" s="44" t="s">
        <v>283</v>
      </c>
      <c r="C377" s="44"/>
      <c r="D377" s="44" t="s">
        <v>221</v>
      </c>
      <c r="E377" s="44" t="s">
        <v>472</v>
      </c>
      <c r="F377" s="45" t="s">
        <v>948</v>
      </c>
      <c r="G377" s="44" t="s">
        <v>468</v>
      </c>
    </row>
    <row r="378" customFormat="false" ht="46.25" hidden="false" customHeight="false" outlineLevel="0" collapsed="false">
      <c r="A378" s="9" t="s">
        <v>40</v>
      </c>
      <c r="B378" s="9" t="s">
        <v>522</v>
      </c>
      <c r="C378" s="9"/>
      <c r="D378" s="9" t="s">
        <v>523</v>
      </c>
      <c r="E378" s="9" t="s">
        <v>449</v>
      </c>
      <c r="F378" s="3" t="s">
        <v>949</v>
      </c>
      <c r="G378" s="9" t="s">
        <v>445</v>
      </c>
    </row>
    <row r="379" customFormat="false" ht="23.85" hidden="false" customHeight="false" outlineLevel="0" collapsed="false">
      <c r="A379" s="9" t="s">
        <v>41</v>
      </c>
      <c r="B379" s="9" t="s">
        <v>596</v>
      </c>
      <c r="C379" s="9"/>
      <c r="D379" s="9" t="s">
        <v>597</v>
      </c>
      <c r="E379" s="9" t="s">
        <v>449</v>
      </c>
      <c r="F379" s="3" t="s">
        <v>950</v>
      </c>
      <c r="G379" s="9" t="s">
        <v>445</v>
      </c>
    </row>
  </sheetData>
  <autoFilter ref="A4:G379"/>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2026-10-15T17:01:00Z</dcterms:created>
  <dc:creator>openpyxl</dc:creator>
  <dc:description/>
  <dc:language>en-US</dc:language>
  <cp:lastModifiedBy/>
  <dcterms:modified xsi:type="dcterms:W3CDTF">2026-10-15T17:01:03Z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